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nnées\1.UPRT\0-UPRT.fait\1-UPRT.FR-SITE-WEB\ff-fiches-fabrications\ff.fiches.fabrication.2026\ffr-restaurant-2026\"/>
    </mc:Choice>
  </mc:AlternateContent>
  <xr:revisionPtr revIDLastSave="0" documentId="13_ncr:1_{3770973E-57B0-4644-B117-517EBF6D842A}" xr6:coauthVersionLast="47" xr6:coauthVersionMax="47" xr10:uidLastSave="{00000000-0000-0000-0000-000000000000}"/>
  <bookViews>
    <workbookView xWindow="-120" yWindow="-120" windowWidth="29040" windowHeight="15720" xr2:uid="{88B5F61F-1141-4CDF-B8E8-6FA6CF2D68D9}"/>
  </bookViews>
  <sheets>
    <sheet name="MODE_EMPLOI_CFA" sheetId="6" r:id="rId1"/>
    <sheet name="HYBRIDE_CFA_Explications" sheetId="5" r:id="rId2"/>
    <sheet name="10.recettes.exemple" sheetId="18" r:id="rId3"/>
    <sheet name="Saisissez.vos.postits" sheetId="12" r:id="rId4"/>
    <sheet name="Fiche.recette" sheetId="17" r:id="rId5"/>
    <sheet name="PRINCIPAUX_COCKTAILS" sheetId="11" r:id="rId6"/>
    <sheet name="ALLERGENES_COCKTAILS" sheetId="9" r:id="rId7"/>
    <sheet name="ALLERGENES.6.Septembre.2026" sheetId="15" r:id="rId8"/>
    <sheet name="des.couleurs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48" i="18" l="1"/>
  <c r="C344" i="18"/>
  <c r="E13" i="18" s="1"/>
  <c r="J312" i="18"/>
  <c r="C308" i="18"/>
  <c r="E12" i="18" s="1"/>
  <c r="J276" i="18"/>
  <c r="C272" i="18"/>
  <c r="E11" i="18" s="1"/>
  <c r="J240" i="18"/>
  <c r="C236" i="18"/>
  <c r="E10" i="18" s="1"/>
  <c r="J204" i="18"/>
  <c r="C200" i="18"/>
  <c r="E9" i="18" s="1"/>
  <c r="J168" i="18"/>
  <c r="C164" i="18"/>
  <c r="E8" i="18" s="1"/>
  <c r="J132" i="18"/>
  <c r="C128" i="18"/>
  <c r="E7" i="18" s="1"/>
  <c r="J96" i="18"/>
  <c r="C92" i="18"/>
  <c r="E6" i="18" s="1"/>
  <c r="J60" i="18"/>
  <c r="C56" i="18"/>
  <c r="E5" i="18" s="1"/>
  <c r="V372" i="18"/>
  <c r="V371" i="18"/>
  <c r="V370" i="18"/>
  <c r="V367" i="18"/>
  <c r="V366" i="18"/>
  <c r="V365" i="18"/>
  <c r="V364" i="18"/>
  <c r="V363" i="18"/>
  <c r="V362" i="18"/>
  <c r="V361" i="18"/>
  <c r="V360" i="18"/>
  <c r="AS357" i="18"/>
  <c r="AR357" i="18"/>
  <c r="AQ357" i="18"/>
  <c r="AP357" i="18"/>
  <c r="AO357" i="18"/>
  <c r="AN357" i="18"/>
  <c r="X357" i="18" s="1"/>
  <c r="AM357" i="18"/>
  <c r="AL357" i="18"/>
  <c r="AK357" i="18"/>
  <c r="AJ357" i="18"/>
  <c r="AI357" i="18"/>
  <c r="V357" i="18" s="1"/>
  <c r="AH357" i="18"/>
  <c r="AF357" i="18"/>
  <c r="AE357" i="18"/>
  <c r="AD357" i="18"/>
  <c r="AC357" i="18"/>
  <c r="AB357" i="18"/>
  <c r="Y357" i="18"/>
  <c r="W357" i="18"/>
  <c r="AS356" i="18"/>
  <c r="AR356" i="18"/>
  <c r="AQ356" i="18"/>
  <c r="AP356" i="18"/>
  <c r="AO356" i="18"/>
  <c r="AN356" i="18"/>
  <c r="X356" i="18" s="1"/>
  <c r="AM356" i="18"/>
  <c r="AL356" i="18"/>
  <c r="AK356" i="18"/>
  <c r="AJ356" i="18"/>
  <c r="AA356" i="18" s="1"/>
  <c r="AI356" i="18"/>
  <c r="V356" i="18" s="1"/>
  <c r="AH356" i="18"/>
  <c r="AF356" i="18"/>
  <c r="AE356" i="18"/>
  <c r="AD356" i="18"/>
  <c r="AC356" i="18"/>
  <c r="AB356" i="18"/>
  <c r="Y356" i="18"/>
  <c r="W356" i="18"/>
  <c r="AS355" i="18"/>
  <c r="AR355" i="18"/>
  <c r="AF355" i="18" s="1"/>
  <c r="AP355" i="18"/>
  <c r="AB355" i="18" s="1"/>
  <c r="AO355" i="18"/>
  <c r="AN355" i="18"/>
  <c r="X355" i="18" s="1"/>
  <c r="AL355" i="18"/>
  <c r="AK355" i="18"/>
  <c r="AJ355" i="18"/>
  <c r="AI355" i="18"/>
  <c r="V355" i="18" s="1"/>
  <c r="AH355" i="18"/>
  <c r="AE355" i="18"/>
  <c r="AD355" i="18"/>
  <c r="Y355" i="18"/>
  <c r="W355" i="18"/>
  <c r="AK354" i="18"/>
  <c r="AL354" i="18" s="1"/>
  <c r="AJ354" i="18"/>
  <c r="AS354" i="18" s="1"/>
  <c r="AI354" i="18"/>
  <c r="V354" i="18" s="1"/>
  <c r="AH354" i="18"/>
  <c r="AE354" i="18"/>
  <c r="AD354" i="18"/>
  <c r="W354" i="18"/>
  <c r="AK353" i="18"/>
  <c r="AL353" i="18" s="1"/>
  <c r="AJ353" i="18"/>
  <c r="AS353" i="18" s="1"/>
  <c r="AI353" i="18"/>
  <c r="V353" i="18" s="1"/>
  <c r="AH353" i="18"/>
  <c r="AE353" i="18"/>
  <c r="AD353" i="18"/>
  <c r="W353" i="18"/>
  <c r="AK352" i="18"/>
  <c r="AL352" i="18" s="1"/>
  <c r="AJ352" i="18"/>
  <c r="AS352" i="18" s="1"/>
  <c r="AI352" i="18"/>
  <c r="V352" i="18" s="1"/>
  <c r="AH352" i="18"/>
  <c r="AE352" i="18"/>
  <c r="AD352" i="18"/>
  <c r="W352" i="18"/>
  <c r="AK351" i="18"/>
  <c r="AL351" i="18" s="1"/>
  <c r="AJ351" i="18"/>
  <c r="AS351" i="18" s="1"/>
  <c r="AI351" i="18"/>
  <c r="V351" i="18" s="1"/>
  <c r="AH351" i="18"/>
  <c r="AE351" i="18"/>
  <c r="AD351" i="18"/>
  <c r="W351" i="18"/>
  <c r="R351" i="18"/>
  <c r="W345" i="18" s="1"/>
  <c r="R350" i="18"/>
  <c r="AF342" i="18" s="1"/>
  <c r="R349" i="18"/>
  <c r="AD343" i="18" s="1"/>
  <c r="AA348" i="18"/>
  <c r="AC347" i="18"/>
  <c r="AA347" i="18"/>
  <c r="W347" i="18"/>
  <c r="W346" i="18"/>
  <c r="AA344" i="18"/>
  <c r="X344" i="18"/>
  <c r="W344" i="18"/>
  <c r="R343" i="18"/>
  <c r="AM352" i="18" s="1"/>
  <c r="AF341" i="18"/>
  <c r="AD341" i="18"/>
  <c r="AA341" i="18"/>
  <c r="W341" i="18"/>
  <c r="V336" i="18"/>
  <c r="V335" i="18"/>
  <c r="V334" i="18"/>
  <c r="V331" i="18"/>
  <c r="V330" i="18"/>
  <c r="V329" i="18"/>
  <c r="V328" i="18"/>
  <c r="V327" i="18"/>
  <c r="V326" i="18"/>
  <c r="V325" i="18"/>
  <c r="V324" i="18"/>
  <c r="AS321" i="18"/>
  <c r="AR321" i="18"/>
  <c r="AQ321" i="18"/>
  <c r="AP321" i="18"/>
  <c r="AO321" i="18"/>
  <c r="AN321" i="18"/>
  <c r="X321" i="18" s="1"/>
  <c r="AM321" i="18"/>
  <c r="AL321" i="18"/>
  <c r="AK321" i="18"/>
  <c r="AJ321" i="18"/>
  <c r="AA321" i="18" s="1"/>
  <c r="AI321" i="18"/>
  <c r="V321" i="18" s="1"/>
  <c r="AH321" i="18"/>
  <c r="AF321" i="18"/>
  <c r="AE321" i="18"/>
  <c r="AD321" i="18"/>
  <c r="AC321" i="18"/>
  <c r="AB321" i="18"/>
  <c r="Y321" i="18"/>
  <c r="W321" i="18"/>
  <c r="AS320" i="18"/>
  <c r="AR320" i="18"/>
  <c r="AQ320" i="18"/>
  <c r="AP320" i="18"/>
  <c r="AO320" i="18"/>
  <c r="AN320" i="18"/>
  <c r="X320" i="18" s="1"/>
  <c r="AM320" i="18"/>
  <c r="AL320" i="18"/>
  <c r="AK320" i="18"/>
  <c r="AJ320" i="18"/>
  <c r="AI320" i="18"/>
  <c r="V320" i="18" s="1"/>
  <c r="AH320" i="18"/>
  <c r="AF320" i="18"/>
  <c r="AE320" i="18"/>
  <c r="AD320" i="18"/>
  <c r="AC320" i="18"/>
  <c r="AB320" i="18"/>
  <c r="Y320" i="18"/>
  <c r="W320" i="18"/>
  <c r="AK319" i="18"/>
  <c r="AL319" i="18" s="1"/>
  <c r="AJ319" i="18"/>
  <c r="AS319" i="18" s="1"/>
  <c r="AI319" i="18"/>
  <c r="V319" i="18" s="1"/>
  <c r="AH319" i="18"/>
  <c r="AE319" i="18"/>
  <c r="AD319" i="18"/>
  <c r="W319" i="18"/>
  <c r="AK318" i="18"/>
  <c r="AL318" i="18" s="1"/>
  <c r="AJ318" i="18"/>
  <c r="AS318" i="18" s="1"/>
  <c r="AI318" i="18"/>
  <c r="V318" i="18" s="1"/>
  <c r="AH318" i="18"/>
  <c r="AE318" i="18"/>
  <c r="AD318" i="18"/>
  <c r="W318" i="18"/>
  <c r="AK317" i="18"/>
  <c r="AL317" i="18" s="1"/>
  <c r="AJ317" i="18"/>
  <c r="AA317" i="18" s="1"/>
  <c r="AI317" i="18"/>
  <c r="V317" i="18" s="1"/>
  <c r="AH317" i="18"/>
  <c r="AE317" i="18"/>
  <c r="AD317" i="18"/>
  <c r="W317" i="18"/>
  <c r="AK316" i="18"/>
  <c r="AL316" i="18" s="1"/>
  <c r="AJ316" i="18"/>
  <c r="AA316" i="18" s="1"/>
  <c r="AI316" i="18"/>
  <c r="V316" i="18" s="1"/>
  <c r="AH316" i="18"/>
  <c r="AE316" i="18"/>
  <c r="AD316" i="18"/>
  <c r="W316" i="18"/>
  <c r="AK315" i="18"/>
  <c r="AL315" i="18" s="1"/>
  <c r="AJ315" i="18"/>
  <c r="AI315" i="18"/>
  <c r="V315" i="18" s="1"/>
  <c r="AH315" i="18"/>
  <c r="AE315" i="18"/>
  <c r="AD315" i="18"/>
  <c r="W315" i="18"/>
  <c r="R315" i="18"/>
  <c r="W309" i="18" s="1"/>
  <c r="R314" i="18"/>
  <c r="AF306" i="18" s="1"/>
  <c r="R313" i="18"/>
  <c r="AD307" i="18" s="1"/>
  <c r="AA312" i="18"/>
  <c r="AC311" i="18"/>
  <c r="AA311" i="18"/>
  <c r="W311" i="18"/>
  <c r="W310" i="18"/>
  <c r="AA308" i="18"/>
  <c r="X308" i="18"/>
  <c r="W308" i="18"/>
  <c r="R307" i="18"/>
  <c r="AM315" i="18" s="1"/>
  <c r="AF305" i="18"/>
  <c r="AD305" i="18"/>
  <c r="AA305" i="18"/>
  <c r="W305" i="18"/>
  <c r="V300" i="18"/>
  <c r="V299" i="18"/>
  <c r="V298" i="18"/>
  <c r="V295" i="18"/>
  <c r="V294" i="18"/>
  <c r="V293" i="18"/>
  <c r="V292" i="18"/>
  <c r="V291" i="18"/>
  <c r="V290" i="18"/>
  <c r="V289" i="18"/>
  <c r="V288" i="18"/>
  <c r="AS285" i="18"/>
  <c r="AR285" i="18"/>
  <c r="AQ285" i="18"/>
  <c r="AP285" i="18"/>
  <c r="AO285" i="18"/>
  <c r="AN285" i="18"/>
  <c r="X285" i="18" s="1"/>
  <c r="AM285" i="18"/>
  <c r="AL285" i="18"/>
  <c r="AK285" i="18"/>
  <c r="AJ285" i="18"/>
  <c r="AI285" i="18"/>
  <c r="V285" i="18" s="1"/>
  <c r="AH285" i="18"/>
  <c r="AF285" i="18"/>
  <c r="AE285" i="18"/>
  <c r="AD285" i="18"/>
  <c r="AC285" i="18"/>
  <c r="AB285" i="18"/>
  <c r="Y285" i="18"/>
  <c r="W285" i="18"/>
  <c r="AS284" i="18"/>
  <c r="AR284" i="18"/>
  <c r="AQ284" i="18"/>
  <c r="AP284" i="18"/>
  <c r="AO284" i="18"/>
  <c r="AN284" i="18"/>
  <c r="X284" i="18" s="1"/>
  <c r="AM284" i="18"/>
  <c r="AL284" i="18"/>
  <c r="AK284" i="18"/>
  <c r="AJ284" i="18"/>
  <c r="AA284" i="18" s="1"/>
  <c r="AI284" i="18"/>
  <c r="V284" i="18" s="1"/>
  <c r="AH284" i="18"/>
  <c r="AF284" i="18"/>
  <c r="AE284" i="18"/>
  <c r="AD284" i="18"/>
  <c r="AC284" i="18"/>
  <c r="AB284" i="18"/>
  <c r="Y284" i="18"/>
  <c r="W284" i="18"/>
  <c r="AK283" i="18"/>
  <c r="AL283" i="18" s="1"/>
  <c r="AJ283" i="18"/>
  <c r="AS283" i="18" s="1"/>
  <c r="AI283" i="18"/>
  <c r="V283" i="18" s="1"/>
  <c r="AH283" i="18"/>
  <c r="AE283" i="18"/>
  <c r="AD283" i="18"/>
  <c r="W283" i="18"/>
  <c r="AK282" i="18"/>
  <c r="AL282" i="18" s="1"/>
  <c r="AJ282" i="18"/>
  <c r="AS282" i="18" s="1"/>
  <c r="AI282" i="18"/>
  <c r="V282" i="18" s="1"/>
  <c r="AH282" i="18"/>
  <c r="AE282" i="18"/>
  <c r="AD282" i="18"/>
  <c r="W282" i="18"/>
  <c r="AK281" i="18"/>
  <c r="AL281" i="18" s="1"/>
  <c r="AJ281" i="18"/>
  <c r="AS281" i="18" s="1"/>
  <c r="AI281" i="18"/>
  <c r="V281" i="18" s="1"/>
  <c r="AH281" i="18"/>
  <c r="AE281" i="18"/>
  <c r="AD281" i="18"/>
  <c r="W281" i="18"/>
  <c r="AK280" i="18"/>
  <c r="AL280" i="18" s="1"/>
  <c r="AJ280" i="18"/>
  <c r="AS280" i="18" s="1"/>
  <c r="AI280" i="18"/>
  <c r="V280" i="18" s="1"/>
  <c r="AH280" i="18"/>
  <c r="AE280" i="18"/>
  <c r="AD280" i="18"/>
  <c r="W280" i="18"/>
  <c r="AK279" i="18"/>
  <c r="AL279" i="18" s="1"/>
  <c r="AJ279" i="18"/>
  <c r="AA279" i="18" s="1"/>
  <c r="AI279" i="18"/>
  <c r="V279" i="18" s="1"/>
  <c r="AH279" i="18"/>
  <c r="AE279" i="18"/>
  <c r="AD279" i="18"/>
  <c r="W279" i="18"/>
  <c r="R279" i="18"/>
  <c r="AD272" i="18" s="1"/>
  <c r="R278" i="18"/>
  <c r="AF270" i="18" s="1"/>
  <c r="R277" i="18"/>
  <c r="AD271" i="18" s="1"/>
  <c r="AA276" i="18"/>
  <c r="AC275" i="18"/>
  <c r="AA275" i="18"/>
  <c r="W275" i="18"/>
  <c r="W274" i="18"/>
  <c r="AA272" i="18"/>
  <c r="X272" i="18"/>
  <c r="W272" i="18"/>
  <c r="R271" i="18"/>
  <c r="AM279" i="18" s="1"/>
  <c r="AF269" i="18"/>
  <c r="AD269" i="18"/>
  <c r="AA269" i="18"/>
  <c r="W269" i="18"/>
  <c r="V264" i="18"/>
  <c r="V263" i="18"/>
  <c r="V262" i="18"/>
  <c r="V259" i="18"/>
  <c r="V258" i="18"/>
  <c r="V257" i="18"/>
  <c r="V256" i="18"/>
  <c r="V255" i="18"/>
  <c r="V254" i="18"/>
  <c r="V253" i="18"/>
  <c r="V252" i="18"/>
  <c r="AS249" i="18"/>
  <c r="AR249" i="18"/>
  <c r="AQ249" i="18"/>
  <c r="AP249" i="18"/>
  <c r="AO249" i="18"/>
  <c r="AN249" i="18"/>
  <c r="X249" i="18" s="1"/>
  <c r="AM249" i="18"/>
  <c r="AL249" i="18"/>
  <c r="AK249" i="18"/>
  <c r="AJ249" i="18"/>
  <c r="AA249" i="18" s="1"/>
  <c r="AI249" i="18"/>
  <c r="V249" i="18" s="1"/>
  <c r="AH249" i="18"/>
  <c r="AF249" i="18"/>
  <c r="AE249" i="18"/>
  <c r="AD249" i="18"/>
  <c r="AC249" i="18"/>
  <c r="AB249" i="18"/>
  <c r="Y249" i="18"/>
  <c r="W249" i="18"/>
  <c r="AS248" i="18"/>
  <c r="AR248" i="18"/>
  <c r="AQ248" i="18"/>
  <c r="AP248" i="18"/>
  <c r="AO248" i="18"/>
  <c r="AN248" i="18"/>
  <c r="X248" i="18" s="1"/>
  <c r="AM248" i="18"/>
  <c r="AL248" i="18"/>
  <c r="AK248" i="18"/>
  <c r="AJ248" i="18"/>
  <c r="AA248" i="18" s="1"/>
  <c r="AI248" i="18"/>
  <c r="V248" i="18" s="1"/>
  <c r="AH248" i="18"/>
  <c r="AF248" i="18"/>
  <c r="AE248" i="18"/>
  <c r="AD248" i="18"/>
  <c r="AC248" i="18"/>
  <c r="AB248" i="18"/>
  <c r="Y248" i="18"/>
  <c r="W248" i="18"/>
  <c r="AS247" i="18"/>
  <c r="AR247" i="18"/>
  <c r="AF247" i="18" s="1"/>
  <c r="AP247" i="18"/>
  <c r="AB247" i="18" s="1"/>
  <c r="AO247" i="18"/>
  <c r="AN247" i="18"/>
  <c r="X247" i="18" s="1"/>
  <c r="AL247" i="18"/>
  <c r="AK247" i="18"/>
  <c r="AJ247" i="18"/>
  <c r="AI247" i="18"/>
  <c r="V247" i="18" s="1"/>
  <c r="AH247" i="18"/>
  <c r="AE247" i="18"/>
  <c r="AD247" i="18"/>
  <c r="Y247" i="18"/>
  <c r="W247" i="18"/>
  <c r="AK246" i="18"/>
  <c r="AL246" i="18" s="1"/>
  <c r="AJ246" i="18"/>
  <c r="AS246" i="18" s="1"/>
  <c r="AI246" i="18"/>
  <c r="V246" i="18" s="1"/>
  <c r="AH246" i="18"/>
  <c r="AE246" i="18"/>
  <c r="AD246" i="18"/>
  <c r="W246" i="18"/>
  <c r="AK245" i="18"/>
  <c r="AL245" i="18" s="1"/>
  <c r="AJ245" i="18"/>
  <c r="AS245" i="18" s="1"/>
  <c r="AI245" i="18"/>
  <c r="V245" i="18" s="1"/>
  <c r="AH245" i="18"/>
  <c r="AE245" i="18"/>
  <c r="AD245" i="18"/>
  <c r="W245" i="18"/>
  <c r="AK244" i="18"/>
  <c r="AL244" i="18" s="1"/>
  <c r="AJ244" i="18"/>
  <c r="AS244" i="18" s="1"/>
  <c r="AI244" i="18"/>
  <c r="V244" i="18" s="1"/>
  <c r="AH244" i="18"/>
  <c r="AE244" i="18"/>
  <c r="AD244" i="18"/>
  <c r="W244" i="18"/>
  <c r="AK243" i="18"/>
  <c r="AL243" i="18" s="1"/>
  <c r="AJ243" i="18"/>
  <c r="AS243" i="18" s="1"/>
  <c r="AI243" i="18"/>
  <c r="V243" i="18" s="1"/>
  <c r="AH243" i="18"/>
  <c r="AE243" i="18"/>
  <c r="AD243" i="18"/>
  <c r="W243" i="18"/>
  <c r="R243" i="18"/>
  <c r="AD236" i="18" s="1"/>
  <c r="R242" i="18"/>
  <c r="AF234" i="18" s="1"/>
  <c r="R241" i="18"/>
  <c r="AD235" i="18" s="1"/>
  <c r="AA240" i="18"/>
  <c r="AC239" i="18"/>
  <c r="AA239" i="18"/>
  <c r="W239" i="18"/>
  <c r="W238" i="18"/>
  <c r="AA236" i="18"/>
  <c r="X236" i="18"/>
  <c r="W236" i="18"/>
  <c r="R235" i="18"/>
  <c r="AD234" i="18" s="1"/>
  <c r="AF233" i="18"/>
  <c r="AD233" i="18"/>
  <c r="AA233" i="18"/>
  <c r="W233" i="18"/>
  <c r="V228" i="18"/>
  <c r="V227" i="18"/>
  <c r="V226" i="18"/>
  <c r="V223" i="18"/>
  <c r="V222" i="18"/>
  <c r="V221" i="18"/>
  <c r="V220" i="18"/>
  <c r="V219" i="18"/>
  <c r="V218" i="18"/>
  <c r="V217" i="18"/>
  <c r="V216" i="18"/>
  <c r="AS213" i="18"/>
  <c r="AR213" i="18"/>
  <c r="AQ213" i="18"/>
  <c r="AP213" i="18"/>
  <c r="AO213" i="18"/>
  <c r="AN213" i="18"/>
  <c r="X213" i="18" s="1"/>
  <c r="AM213" i="18"/>
  <c r="AL213" i="18"/>
  <c r="AK213" i="18"/>
  <c r="AJ213" i="18"/>
  <c r="AA213" i="18" s="1"/>
  <c r="AI213" i="18"/>
  <c r="V213" i="18" s="1"/>
  <c r="AH213" i="18"/>
  <c r="AF213" i="18"/>
  <c r="AE213" i="18"/>
  <c r="AD213" i="18"/>
  <c r="AC213" i="18"/>
  <c r="AB213" i="18"/>
  <c r="Y213" i="18"/>
  <c r="W213" i="18"/>
  <c r="AS212" i="18"/>
  <c r="AR212" i="18"/>
  <c r="AQ212" i="18"/>
  <c r="AP212" i="18"/>
  <c r="AO212" i="18"/>
  <c r="AN212" i="18"/>
  <c r="X212" i="18" s="1"/>
  <c r="AM212" i="18"/>
  <c r="AL212" i="18"/>
  <c r="AK212" i="18"/>
  <c r="AJ212" i="18"/>
  <c r="AI212" i="18"/>
  <c r="V212" i="18" s="1"/>
  <c r="AH212" i="18"/>
  <c r="AF212" i="18"/>
  <c r="AE212" i="18"/>
  <c r="AD212" i="18"/>
  <c r="AC212" i="18"/>
  <c r="AB212" i="18"/>
  <c r="Y212" i="18"/>
  <c r="W212" i="18"/>
  <c r="AS211" i="18"/>
  <c r="AR211" i="18"/>
  <c r="AF211" i="18" s="1"/>
  <c r="AP211" i="18"/>
  <c r="AB211" i="18" s="1"/>
  <c r="AO211" i="18"/>
  <c r="AN211" i="18"/>
  <c r="X211" i="18" s="1"/>
  <c r="AL211" i="18"/>
  <c r="AK211" i="18"/>
  <c r="AJ211" i="18"/>
  <c r="AI211" i="18"/>
  <c r="V211" i="18" s="1"/>
  <c r="AH211" i="18"/>
  <c r="AE211" i="18"/>
  <c r="AD211" i="18"/>
  <c r="Y211" i="18"/>
  <c r="W211" i="18"/>
  <c r="AK210" i="18"/>
  <c r="AL210" i="18" s="1"/>
  <c r="AJ210" i="18"/>
  <c r="AI210" i="18"/>
  <c r="V210" i="18" s="1"/>
  <c r="AH210" i="18"/>
  <c r="AE210" i="18"/>
  <c r="AD210" i="18"/>
  <c r="W210" i="18"/>
  <c r="AK209" i="18"/>
  <c r="AL209" i="18" s="1"/>
  <c r="AJ209" i="18"/>
  <c r="AS209" i="18" s="1"/>
  <c r="AI209" i="18"/>
  <c r="V209" i="18" s="1"/>
  <c r="AH209" i="18"/>
  <c r="AE209" i="18"/>
  <c r="AD209" i="18"/>
  <c r="W209" i="18"/>
  <c r="AK208" i="18"/>
  <c r="AL208" i="18" s="1"/>
  <c r="AJ208" i="18"/>
  <c r="AS208" i="18" s="1"/>
  <c r="AI208" i="18"/>
  <c r="V208" i="18" s="1"/>
  <c r="AH208" i="18"/>
  <c r="AE208" i="18"/>
  <c r="AD208" i="18"/>
  <c r="W208" i="18"/>
  <c r="AK207" i="18"/>
  <c r="AL207" i="18" s="1"/>
  <c r="AJ207" i="18"/>
  <c r="AS207" i="18" s="1"/>
  <c r="AI207" i="18"/>
  <c r="V207" i="18" s="1"/>
  <c r="AH207" i="18"/>
  <c r="AE207" i="18"/>
  <c r="AD207" i="18"/>
  <c r="W207" i="18"/>
  <c r="R207" i="18"/>
  <c r="AD200" i="18" s="1"/>
  <c r="R206" i="18"/>
  <c r="AF198" i="18" s="1"/>
  <c r="R205" i="18"/>
  <c r="AD199" i="18" s="1"/>
  <c r="AA204" i="18"/>
  <c r="AC203" i="18"/>
  <c r="AA203" i="18"/>
  <c r="W203" i="18"/>
  <c r="W202" i="18"/>
  <c r="AA200" i="18"/>
  <c r="X200" i="18"/>
  <c r="W200" i="18"/>
  <c r="R199" i="18"/>
  <c r="AM208" i="18" s="1"/>
  <c r="AF197" i="18"/>
  <c r="AD197" i="18"/>
  <c r="AA197" i="18"/>
  <c r="W197" i="18"/>
  <c r="V192" i="18"/>
  <c r="V191" i="18"/>
  <c r="V190" i="18"/>
  <c r="V187" i="18"/>
  <c r="V186" i="18"/>
  <c r="V185" i="18"/>
  <c r="V184" i="18"/>
  <c r="V183" i="18"/>
  <c r="V182" i="18"/>
  <c r="V181" i="18"/>
  <c r="V180" i="18"/>
  <c r="AS177" i="18"/>
  <c r="AR177" i="18"/>
  <c r="AQ177" i="18"/>
  <c r="AP177" i="18"/>
  <c r="AO177" i="18"/>
  <c r="AN177" i="18"/>
  <c r="X177" i="18" s="1"/>
  <c r="AM177" i="18"/>
  <c r="AL177" i="18"/>
  <c r="AK177" i="18"/>
  <c r="AJ177" i="18"/>
  <c r="AI177" i="18"/>
  <c r="V177" i="18" s="1"/>
  <c r="AH177" i="18"/>
  <c r="AF177" i="18"/>
  <c r="AE177" i="18"/>
  <c r="AD177" i="18"/>
  <c r="AC177" i="18"/>
  <c r="AB177" i="18"/>
  <c r="Y177" i="18"/>
  <c r="W177" i="18"/>
  <c r="AS176" i="18"/>
  <c r="AR176" i="18"/>
  <c r="AQ176" i="18"/>
  <c r="AP176" i="18"/>
  <c r="AO176" i="18"/>
  <c r="AN176" i="18"/>
  <c r="X176" i="18" s="1"/>
  <c r="AM176" i="18"/>
  <c r="AL176" i="18"/>
  <c r="AK176" i="18"/>
  <c r="AJ176" i="18"/>
  <c r="AA176" i="18" s="1"/>
  <c r="AI176" i="18"/>
  <c r="V176" i="18" s="1"/>
  <c r="AH176" i="18"/>
  <c r="AF176" i="18"/>
  <c r="AE176" i="18"/>
  <c r="AD176" i="18"/>
  <c r="AC176" i="18"/>
  <c r="AB176" i="18"/>
  <c r="Y176" i="18"/>
  <c r="W176" i="18"/>
  <c r="AS175" i="18"/>
  <c r="AR175" i="18"/>
  <c r="AF175" i="18" s="1"/>
  <c r="AP175" i="18"/>
  <c r="AB175" i="18" s="1"/>
  <c r="AO175" i="18"/>
  <c r="AN175" i="18"/>
  <c r="X175" i="18" s="1"/>
  <c r="AL175" i="18"/>
  <c r="AK175" i="18"/>
  <c r="AJ175" i="18"/>
  <c r="AI175" i="18"/>
  <c r="V175" i="18" s="1"/>
  <c r="AH175" i="18"/>
  <c r="AE175" i="18"/>
  <c r="AD175" i="18"/>
  <c r="Y175" i="18"/>
  <c r="W175" i="18"/>
  <c r="AK174" i="18"/>
  <c r="AL174" i="18" s="1"/>
  <c r="AJ174" i="18"/>
  <c r="AS174" i="18" s="1"/>
  <c r="AI174" i="18"/>
  <c r="V174" i="18" s="1"/>
  <c r="AH174" i="18"/>
  <c r="AE174" i="18"/>
  <c r="AD174" i="18"/>
  <c r="W174" i="18"/>
  <c r="AK173" i="18"/>
  <c r="AL173" i="18" s="1"/>
  <c r="AJ173" i="18"/>
  <c r="AS173" i="18" s="1"/>
  <c r="AI173" i="18"/>
  <c r="V173" i="18" s="1"/>
  <c r="AH173" i="18"/>
  <c r="AE173" i="18"/>
  <c r="AD173" i="18"/>
  <c r="W173" i="18"/>
  <c r="AK172" i="18"/>
  <c r="AL172" i="18" s="1"/>
  <c r="AJ172" i="18"/>
  <c r="AI172" i="18"/>
  <c r="V172" i="18" s="1"/>
  <c r="AH172" i="18"/>
  <c r="AE172" i="18"/>
  <c r="AD172" i="18"/>
  <c r="W172" i="18"/>
  <c r="AK171" i="18"/>
  <c r="AL171" i="18" s="1"/>
  <c r="AJ171" i="18"/>
  <c r="AA171" i="18" s="1"/>
  <c r="AI171" i="18"/>
  <c r="V171" i="18" s="1"/>
  <c r="AH171" i="18"/>
  <c r="AE171" i="18"/>
  <c r="AD171" i="18"/>
  <c r="W171" i="18"/>
  <c r="R171" i="18"/>
  <c r="W165" i="18" s="1"/>
  <c r="R170" i="18"/>
  <c r="AF162" i="18" s="1"/>
  <c r="R169" i="18"/>
  <c r="AD163" i="18" s="1"/>
  <c r="AA168" i="18"/>
  <c r="AC167" i="18"/>
  <c r="AA167" i="18"/>
  <c r="W167" i="18"/>
  <c r="W166" i="18"/>
  <c r="AA164" i="18"/>
  <c r="X164" i="18"/>
  <c r="W164" i="18"/>
  <c r="R163" i="18"/>
  <c r="AM175" i="18" s="1"/>
  <c r="AD162" i="18"/>
  <c r="AF161" i="18"/>
  <c r="AD161" i="18"/>
  <c r="AA161" i="18"/>
  <c r="W161" i="18"/>
  <c r="V156" i="18"/>
  <c r="V155" i="18"/>
  <c r="V154" i="18"/>
  <c r="V151" i="18"/>
  <c r="V150" i="18"/>
  <c r="V149" i="18"/>
  <c r="V148" i="18"/>
  <c r="V147" i="18"/>
  <c r="V146" i="18"/>
  <c r="V145" i="18"/>
  <c r="V144" i="18"/>
  <c r="AS141" i="18"/>
  <c r="AR141" i="18"/>
  <c r="AQ141" i="18"/>
  <c r="AP141" i="18"/>
  <c r="AO141" i="18"/>
  <c r="AN141" i="18"/>
  <c r="X141" i="18" s="1"/>
  <c r="AM141" i="18"/>
  <c r="AL141" i="18"/>
  <c r="AK141" i="18"/>
  <c r="AJ141" i="18"/>
  <c r="AA141" i="18" s="1"/>
  <c r="AI141" i="18"/>
  <c r="V141" i="18" s="1"/>
  <c r="AH141" i="18"/>
  <c r="AF141" i="18"/>
  <c r="AE141" i="18"/>
  <c r="AD141" i="18"/>
  <c r="AC141" i="18"/>
  <c r="AB141" i="18"/>
  <c r="Y141" i="18"/>
  <c r="W141" i="18"/>
  <c r="AS140" i="18"/>
  <c r="AR140" i="18"/>
  <c r="AQ140" i="18"/>
  <c r="AP140" i="18"/>
  <c r="AO140" i="18"/>
  <c r="AN140" i="18"/>
  <c r="X140" i="18" s="1"/>
  <c r="AM140" i="18"/>
  <c r="AL140" i="18"/>
  <c r="AK140" i="18"/>
  <c r="AJ140" i="18"/>
  <c r="AI140" i="18"/>
  <c r="V140" i="18" s="1"/>
  <c r="AH140" i="18"/>
  <c r="AF140" i="18"/>
  <c r="AE140" i="18"/>
  <c r="AD140" i="18"/>
  <c r="AC140" i="18"/>
  <c r="AB140" i="18"/>
  <c r="Y140" i="18"/>
  <c r="W140" i="18"/>
  <c r="AS139" i="18"/>
  <c r="AR139" i="18"/>
  <c r="AF139" i="18" s="1"/>
  <c r="AP139" i="18"/>
  <c r="AB139" i="18" s="1"/>
  <c r="AO139" i="18"/>
  <c r="AN139" i="18"/>
  <c r="X139" i="18" s="1"/>
  <c r="AL139" i="18"/>
  <c r="AK139" i="18"/>
  <c r="AJ139" i="18"/>
  <c r="AI139" i="18"/>
  <c r="V139" i="18" s="1"/>
  <c r="AH139" i="18"/>
  <c r="AE139" i="18"/>
  <c r="AD139" i="18"/>
  <c r="Y139" i="18"/>
  <c r="W139" i="18"/>
  <c r="AK138" i="18"/>
  <c r="AL138" i="18" s="1"/>
  <c r="AJ138" i="18"/>
  <c r="AS138" i="18" s="1"/>
  <c r="AI138" i="18"/>
  <c r="V138" i="18" s="1"/>
  <c r="AH138" i="18"/>
  <c r="AE138" i="18"/>
  <c r="AD138" i="18"/>
  <c r="W138" i="18"/>
  <c r="AK137" i="18"/>
  <c r="AL137" i="18" s="1"/>
  <c r="AJ137" i="18"/>
  <c r="AS137" i="18" s="1"/>
  <c r="AI137" i="18"/>
  <c r="V137" i="18" s="1"/>
  <c r="AH137" i="18"/>
  <c r="AE137" i="18"/>
  <c r="AD137" i="18"/>
  <c r="W137" i="18"/>
  <c r="AK136" i="18"/>
  <c r="AL136" i="18" s="1"/>
  <c r="AJ136" i="18"/>
  <c r="AS136" i="18" s="1"/>
  <c r="AI136" i="18"/>
  <c r="V136" i="18" s="1"/>
  <c r="AH136" i="18"/>
  <c r="AE136" i="18"/>
  <c r="AD136" i="18"/>
  <c r="W136" i="18"/>
  <c r="AK135" i="18"/>
  <c r="AL135" i="18" s="1"/>
  <c r="AJ135" i="18"/>
  <c r="AI135" i="18"/>
  <c r="V135" i="18" s="1"/>
  <c r="AH135" i="18"/>
  <c r="AE135" i="18"/>
  <c r="AD135" i="18"/>
  <c r="W135" i="18"/>
  <c r="R135" i="18"/>
  <c r="W129" i="18" s="1"/>
  <c r="R134" i="18"/>
  <c r="AF126" i="18" s="1"/>
  <c r="R133" i="18"/>
  <c r="AD127" i="18" s="1"/>
  <c r="AA132" i="18"/>
  <c r="AC131" i="18"/>
  <c r="AA131" i="18"/>
  <c r="W131" i="18"/>
  <c r="W130" i="18"/>
  <c r="AA128" i="18"/>
  <c r="X128" i="18"/>
  <c r="W128" i="18"/>
  <c r="R127" i="18"/>
  <c r="AM137" i="18" s="1"/>
  <c r="AF125" i="18"/>
  <c r="AD125" i="18"/>
  <c r="AA125" i="18"/>
  <c r="W125" i="18"/>
  <c r="V120" i="18"/>
  <c r="V119" i="18"/>
  <c r="V118" i="18"/>
  <c r="V115" i="18"/>
  <c r="V114" i="18"/>
  <c r="V113" i="18"/>
  <c r="V112" i="18"/>
  <c r="V111" i="18"/>
  <c r="V110" i="18"/>
  <c r="V109" i="18"/>
  <c r="V108" i="18"/>
  <c r="AS105" i="18"/>
  <c r="AR105" i="18"/>
  <c r="AQ105" i="18"/>
  <c r="AP105" i="18"/>
  <c r="AO105" i="18"/>
  <c r="AN105" i="18"/>
  <c r="X105" i="18" s="1"/>
  <c r="AM105" i="18"/>
  <c r="AL105" i="18"/>
  <c r="AK105" i="18"/>
  <c r="AJ105" i="18"/>
  <c r="AA105" i="18" s="1"/>
  <c r="AI105" i="18"/>
  <c r="V105" i="18" s="1"/>
  <c r="AH105" i="18"/>
  <c r="AF105" i="18"/>
  <c r="AE105" i="18"/>
  <c r="AD105" i="18"/>
  <c r="AC105" i="18"/>
  <c r="AB105" i="18"/>
  <c r="Y105" i="18"/>
  <c r="W105" i="18"/>
  <c r="AS104" i="18"/>
  <c r="AR104" i="18"/>
  <c r="AQ104" i="18"/>
  <c r="AP104" i="18"/>
  <c r="AO104" i="18"/>
  <c r="AN104" i="18"/>
  <c r="X104" i="18" s="1"/>
  <c r="AM104" i="18"/>
  <c r="AL104" i="18"/>
  <c r="AK104" i="18"/>
  <c r="AJ104" i="18"/>
  <c r="AI104" i="18"/>
  <c r="V104" i="18" s="1"/>
  <c r="AH104" i="18"/>
  <c r="AF104" i="18"/>
  <c r="AE104" i="18"/>
  <c r="AD104" i="18"/>
  <c r="AC104" i="18"/>
  <c r="AB104" i="18"/>
  <c r="Y104" i="18"/>
  <c r="W104" i="18"/>
  <c r="AS103" i="18"/>
  <c r="AR103" i="18"/>
  <c r="AF103" i="18" s="1"/>
  <c r="AP103" i="18"/>
  <c r="AB103" i="18" s="1"/>
  <c r="AO103" i="18"/>
  <c r="AN103" i="18"/>
  <c r="X103" i="18" s="1"/>
  <c r="AL103" i="18"/>
  <c r="AK103" i="18"/>
  <c r="AJ103" i="18"/>
  <c r="AI103" i="18"/>
  <c r="V103" i="18" s="1"/>
  <c r="AH103" i="18"/>
  <c r="AE103" i="18"/>
  <c r="AD103" i="18"/>
  <c r="Y103" i="18"/>
  <c r="W103" i="18"/>
  <c r="AS102" i="18"/>
  <c r="AR102" i="18"/>
  <c r="AF102" i="18" s="1"/>
  <c r="AP102" i="18"/>
  <c r="AB102" i="18" s="1"/>
  <c r="AO102" i="18"/>
  <c r="AN102" i="18"/>
  <c r="X102" i="18" s="1"/>
  <c r="AL102" i="18"/>
  <c r="AK102" i="18"/>
  <c r="AJ102" i="18"/>
  <c r="AI102" i="18"/>
  <c r="V102" i="18" s="1"/>
  <c r="AH102" i="18"/>
  <c r="AE102" i="18"/>
  <c r="AD102" i="18"/>
  <c r="Y102" i="18"/>
  <c r="W102" i="18"/>
  <c r="AK101" i="18"/>
  <c r="AL101" i="18" s="1"/>
  <c r="AJ101" i="18"/>
  <c r="AS101" i="18" s="1"/>
  <c r="AI101" i="18"/>
  <c r="V101" i="18" s="1"/>
  <c r="AH101" i="18"/>
  <c r="AE101" i="18"/>
  <c r="AD101" i="18"/>
  <c r="W101" i="18"/>
  <c r="AK100" i="18"/>
  <c r="AL100" i="18" s="1"/>
  <c r="AJ100" i="18"/>
  <c r="AS100" i="18" s="1"/>
  <c r="AI100" i="18"/>
  <c r="V100" i="18" s="1"/>
  <c r="AH100" i="18"/>
  <c r="AE100" i="18"/>
  <c r="AD100" i="18"/>
  <c r="W100" i="18"/>
  <c r="AK99" i="18"/>
  <c r="AL99" i="18" s="1"/>
  <c r="AJ99" i="18"/>
  <c r="AS99" i="18" s="1"/>
  <c r="AI99" i="18"/>
  <c r="V99" i="18" s="1"/>
  <c r="AH99" i="18"/>
  <c r="AE99" i="18"/>
  <c r="AD99" i="18"/>
  <c r="W99" i="18"/>
  <c r="R99" i="18"/>
  <c r="W93" i="18" s="1"/>
  <c r="R98" i="18"/>
  <c r="AF90" i="18" s="1"/>
  <c r="R97" i="18"/>
  <c r="AD91" i="18" s="1"/>
  <c r="AA96" i="18"/>
  <c r="AC95" i="18"/>
  <c r="AA95" i="18"/>
  <c r="W95" i="18"/>
  <c r="W94" i="18"/>
  <c r="AA92" i="18"/>
  <c r="X92" i="18"/>
  <c r="W92" i="18"/>
  <c r="R91" i="18"/>
  <c r="AM100" i="18" s="1"/>
  <c r="AF89" i="18"/>
  <c r="AD89" i="18"/>
  <c r="AA89" i="18"/>
  <c r="W89" i="18"/>
  <c r="V84" i="18"/>
  <c r="V83" i="18"/>
  <c r="V82" i="18"/>
  <c r="V79" i="18"/>
  <c r="V78" i="18"/>
  <c r="V77" i="18"/>
  <c r="V76" i="18"/>
  <c r="V75" i="18"/>
  <c r="V74" i="18"/>
  <c r="V73" i="18"/>
  <c r="V72" i="18"/>
  <c r="AS69" i="18"/>
  <c r="AR69" i="18"/>
  <c r="AQ69" i="18"/>
  <c r="AP69" i="18"/>
  <c r="AO69" i="18"/>
  <c r="AN69" i="18"/>
  <c r="X69" i="18" s="1"/>
  <c r="AM69" i="18"/>
  <c r="AL69" i="18"/>
  <c r="AK69" i="18"/>
  <c r="AJ69" i="18"/>
  <c r="AI69" i="18"/>
  <c r="V69" i="18" s="1"/>
  <c r="AH69" i="18"/>
  <c r="AF69" i="18"/>
  <c r="AE69" i="18"/>
  <c r="AD69" i="18"/>
  <c r="AC69" i="18"/>
  <c r="AB69" i="18"/>
  <c r="Y69" i="18"/>
  <c r="W69" i="18"/>
  <c r="AS68" i="18"/>
  <c r="AR68" i="18"/>
  <c r="AQ68" i="18"/>
  <c r="AP68" i="18"/>
  <c r="AO68" i="18"/>
  <c r="AN68" i="18"/>
  <c r="X68" i="18" s="1"/>
  <c r="AM68" i="18"/>
  <c r="AL68" i="18"/>
  <c r="AK68" i="18"/>
  <c r="AJ68" i="18"/>
  <c r="AA68" i="18" s="1"/>
  <c r="AI68" i="18"/>
  <c r="V68" i="18" s="1"/>
  <c r="AH68" i="18"/>
  <c r="AF68" i="18"/>
  <c r="AE68" i="18"/>
  <c r="AD68" i="18"/>
  <c r="AC68" i="18"/>
  <c r="AB68" i="18"/>
  <c r="Y68" i="18"/>
  <c r="W68" i="18"/>
  <c r="AK67" i="18"/>
  <c r="AL67" i="18" s="1"/>
  <c r="AJ67" i="18"/>
  <c r="AS67" i="18" s="1"/>
  <c r="AI67" i="18"/>
  <c r="V67" i="18" s="1"/>
  <c r="AH67" i="18"/>
  <c r="AE67" i="18"/>
  <c r="AD67" i="18"/>
  <c r="W67" i="18"/>
  <c r="AK66" i="18"/>
  <c r="AL66" i="18" s="1"/>
  <c r="AJ66" i="18"/>
  <c r="AA66" i="18" s="1"/>
  <c r="AI66" i="18"/>
  <c r="V66" i="18" s="1"/>
  <c r="AH66" i="18"/>
  <c r="AE66" i="18"/>
  <c r="AD66" i="18"/>
  <c r="W66" i="18"/>
  <c r="AK65" i="18"/>
  <c r="AL65" i="18" s="1"/>
  <c r="AJ65" i="18"/>
  <c r="AS65" i="18" s="1"/>
  <c r="AI65" i="18"/>
  <c r="V65" i="18" s="1"/>
  <c r="AH65" i="18"/>
  <c r="AE65" i="18"/>
  <c r="AD65" i="18"/>
  <c r="W65" i="18"/>
  <c r="AK64" i="18"/>
  <c r="AL64" i="18" s="1"/>
  <c r="AJ64" i="18"/>
  <c r="AS64" i="18" s="1"/>
  <c r="AI64" i="18"/>
  <c r="V64" i="18" s="1"/>
  <c r="AH64" i="18"/>
  <c r="AE64" i="18"/>
  <c r="AD64" i="18"/>
  <c r="W64" i="18"/>
  <c r="AK63" i="18"/>
  <c r="AL63" i="18" s="1"/>
  <c r="AJ63" i="18"/>
  <c r="AA63" i="18" s="1"/>
  <c r="AI63" i="18"/>
  <c r="V63" i="18" s="1"/>
  <c r="AH63" i="18"/>
  <c r="AE63" i="18"/>
  <c r="AD63" i="18"/>
  <c r="W63" i="18"/>
  <c r="R63" i="18"/>
  <c r="W57" i="18" s="1"/>
  <c r="R62" i="18"/>
  <c r="AF54" i="18" s="1"/>
  <c r="R61" i="18"/>
  <c r="AD55" i="18" s="1"/>
  <c r="AA60" i="18"/>
  <c r="AC59" i="18"/>
  <c r="AA59" i="18"/>
  <c r="W59" i="18"/>
  <c r="W58" i="18"/>
  <c r="AA56" i="18"/>
  <c r="X56" i="18"/>
  <c r="W56" i="18"/>
  <c r="R55" i="18"/>
  <c r="AM63" i="18" s="1"/>
  <c r="AF53" i="18"/>
  <c r="AD53" i="18"/>
  <c r="AA53" i="18"/>
  <c r="W53" i="18"/>
  <c r="V48" i="18"/>
  <c r="V47" i="18"/>
  <c r="V46" i="18"/>
  <c r="V43" i="18"/>
  <c r="V42" i="18"/>
  <c r="V41" i="18"/>
  <c r="V40" i="18"/>
  <c r="V39" i="18"/>
  <c r="V38" i="18"/>
  <c r="V37" i="18"/>
  <c r="V36" i="18"/>
  <c r="AS33" i="18"/>
  <c r="AR33" i="18"/>
  <c r="AQ33" i="18"/>
  <c r="AP33" i="18"/>
  <c r="AO33" i="18"/>
  <c r="AN33" i="18"/>
  <c r="X33" i="18" s="1"/>
  <c r="AM33" i="18"/>
  <c r="AL33" i="18"/>
  <c r="AK33" i="18"/>
  <c r="AJ33" i="18"/>
  <c r="AA33" i="18" s="1"/>
  <c r="AI33" i="18"/>
  <c r="V33" i="18" s="1"/>
  <c r="AH33" i="18"/>
  <c r="AF33" i="18"/>
  <c r="AE33" i="18"/>
  <c r="AD33" i="18"/>
  <c r="AC33" i="18"/>
  <c r="AB33" i="18"/>
  <c r="Y33" i="18"/>
  <c r="W33" i="18"/>
  <c r="AS32" i="18"/>
  <c r="AR32" i="18"/>
  <c r="AQ32" i="18"/>
  <c r="AP32" i="18"/>
  <c r="AO32" i="18"/>
  <c r="AN32" i="18"/>
  <c r="X32" i="18" s="1"/>
  <c r="AM32" i="18"/>
  <c r="AL32" i="18"/>
  <c r="AK32" i="18"/>
  <c r="AJ32" i="18"/>
  <c r="AI32" i="18"/>
  <c r="V32" i="18" s="1"/>
  <c r="AH32" i="18"/>
  <c r="AF32" i="18"/>
  <c r="AE32" i="18"/>
  <c r="AD32" i="18"/>
  <c r="AC32" i="18"/>
  <c r="AB32" i="18"/>
  <c r="Y32" i="18"/>
  <c r="W32" i="18"/>
  <c r="AS31" i="18"/>
  <c r="AR31" i="18"/>
  <c r="AF31" i="18" s="1"/>
  <c r="AP31" i="18"/>
  <c r="AB31" i="18" s="1"/>
  <c r="AO31" i="18"/>
  <c r="AN31" i="18"/>
  <c r="X31" i="18" s="1"/>
  <c r="AL31" i="18"/>
  <c r="AK31" i="18"/>
  <c r="AJ31" i="18"/>
  <c r="AI31" i="18"/>
  <c r="V31" i="18" s="1"/>
  <c r="AH31" i="18"/>
  <c r="AE31" i="18"/>
  <c r="AD31" i="18"/>
  <c r="Y31" i="18"/>
  <c r="W31" i="18"/>
  <c r="AK30" i="18"/>
  <c r="AL30" i="18" s="1"/>
  <c r="AJ30" i="18"/>
  <c r="AS30" i="18" s="1"/>
  <c r="AI30" i="18"/>
  <c r="V30" i="18" s="1"/>
  <c r="AH30" i="18"/>
  <c r="AE30" i="18"/>
  <c r="AD30" i="18"/>
  <c r="W30" i="18"/>
  <c r="AK29" i="18"/>
  <c r="AL29" i="18" s="1"/>
  <c r="AJ29" i="18"/>
  <c r="AI29" i="18"/>
  <c r="V29" i="18" s="1"/>
  <c r="AH29" i="18"/>
  <c r="AE29" i="18"/>
  <c r="AD29" i="18"/>
  <c r="W29" i="18"/>
  <c r="AK28" i="18"/>
  <c r="AL28" i="18" s="1"/>
  <c r="AJ28" i="18"/>
  <c r="AS28" i="18" s="1"/>
  <c r="AI28" i="18"/>
  <c r="V28" i="18" s="1"/>
  <c r="AH28" i="18"/>
  <c r="AE28" i="18"/>
  <c r="AD28" i="18"/>
  <c r="W28" i="18"/>
  <c r="AK27" i="18"/>
  <c r="AL27" i="18" s="1"/>
  <c r="AJ27" i="18"/>
  <c r="AI27" i="18"/>
  <c r="V27" i="18" s="1"/>
  <c r="AH27" i="18"/>
  <c r="AE27" i="18"/>
  <c r="AD27" i="18"/>
  <c r="W27" i="18"/>
  <c r="R27" i="18"/>
  <c r="W21" i="18" s="1"/>
  <c r="R26" i="18"/>
  <c r="AF18" i="18" s="1"/>
  <c r="R25" i="18"/>
  <c r="AD19" i="18" s="1"/>
  <c r="AA24" i="18"/>
  <c r="J24" i="18"/>
  <c r="AC23" i="18"/>
  <c r="AA23" i="18"/>
  <c r="W23" i="18"/>
  <c r="W22" i="18"/>
  <c r="AA20" i="18"/>
  <c r="X20" i="18"/>
  <c r="W20" i="18"/>
  <c r="C20" i="18"/>
  <c r="E4" i="18" s="1"/>
  <c r="R19" i="18"/>
  <c r="AM28" i="18" s="1"/>
  <c r="AF17" i="18"/>
  <c r="AD17" i="18"/>
  <c r="AA17" i="18"/>
  <c r="W17" i="18"/>
  <c r="L15" i="18"/>
  <c r="J15" i="18"/>
  <c r="I15" i="18"/>
  <c r="F15" i="18"/>
  <c r="C15" i="18"/>
  <c r="C13" i="18"/>
  <c r="C12" i="18"/>
  <c r="C11" i="18"/>
  <c r="C10" i="18"/>
  <c r="C9" i="18"/>
  <c r="C8" i="18"/>
  <c r="C7" i="18"/>
  <c r="C6" i="18"/>
  <c r="C5" i="18"/>
  <c r="C4" i="18"/>
  <c r="C3" i="18" a="1"/>
  <c r="C3" i="18" s="1"/>
  <c r="E13" i="17"/>
  <c r="E12" i="17"/>
  <c r="E11" i="17"/>
  <c r="E10" i="17"/>
  <c r="E9" i="17"/>
  <c r="E8" i="17"/>
  <c r="E7" i="17"/>
  <c r="E6" i="17"/>
  <c r="E5" i="17"/>
  <c r="C13" i="17"/>
  <c r="C12" i="17"/>
  <c r="C11" i="17"/>
  <c r="C10" i="17"/>
  <c r="C9" i="17"/>
  <c r="C8" i="17"/>
  <c r="C7" i="17"/>
  <c r="C6" i="17"/>
  <c r="C5" i="17"/>
  <c r="J348" i="17"/>
  <c r="C344" i="17"/>
  <c r="J312" i="17"/>
  <c r="C308" i="17"/>
  <c r="J276" i="17"/>
  <c r="C272" i="17"/>
  <c r="J240" i="17"/>
  <c r="C236" i="17"/>
  <c r="J204" i="17"/>
  <c r="C200" i="17"/>
  <c r="J168" i="17"/>
  <c r="C164" i="17"/>
  <c r="J132" i="17"/>
  <c r="C128" i="17"/>
  <c r="J96" i="17"/>
  <c r="C92" i="17"/>
  <c r="J60" i="17"/>
  <c r="C56" i="17"/>
  <c r="V372" i="17"/>
  <c r="V371" i="17"/>
  <c r="V370" i="17"/>
  <c r="V367" i="17"/>
  <c r="V366" i="17"/>
  <c r="V365" i="17"/>
  <c r="V364" i="17"/>
  <c r="V363" i="17"/>
  <c r="V362" i="17"/>
  <c r="V361" i="17"/>
  <c r="V360" i="17"/>
  <c r="AS357" i="17"/>
  <c r="AR357" i="17"/>
  <c r="AQ357" i="17"/>
  <c r="AP357" i="17"/>
  <c r="AO357" i="17"/>
  <c r="AN357" i="17"/>
  <c r="X357" i="17" s="1"/>
  <c r="AM357" i="17"/>
  <c r="AL357" i="17"/>
  <c r="AK357" i="17"/>
  <c r="AJ357" i="17"/>
  <c r="AA357" i="17" s="1"/>
  <c r="AI357" i="17"/>
  <c r="V357" i="17" s="1"/>
  <c r="AH357" i="17"/>
  <c r="AF357" i="17"/>
  <c r="AE357" i="17"/>
  <c r="AD357" i="17"/>
  <c r="AC357" i="17"/>
  <c r="AB357" i="17"/>
  <c r="Y357" i="17"/>
  <c r="W357" i="17"/>
  <c r="AS356" i="17"/>
  <c r="AR356" i="17"/>
  <c r="AQ356" i="17"/>
  <c r="AP356" i="17"/>
  <c r="AO356" i="17"/>
  <c r="AN356" i="17"/>
  <c r="X356" i="17" s="1"/>
  <c r="AM356" i="17"/>
  <c r="AL356" i="17"/>
  <c r="AK356" i="17"/>
  <c r="AJ356" i="17"/>
  <c r="AA356" i="17" s="1"/>
  <c r="AI356" i="17"/>
  <c r="V356" i="17" s="1"/>
  <c r="AH356" i="17"/>
  <c r="AF356" i="17"/>
  <c r="AE356" i="17"/>
  <c r="AD356" i="17"/>
  <c r="AC356" i="17"/>
  <c r="AB356" i="17"/>
  <c r="Y356" i="17"/>
  <c r="W356" i="17"/>
  <c r="AS355" i="17"/>
  <c r="AR355" i="17"/>
  <c r="AP355" i="17"/>
  <c r="AO355" i="17"/>
  <c r="AN355" i="17"/>
  <c r="X355" i="17" s="1"/>
  <c r="AL355" i="17"/>
  <c r="AK355" i="17"/>
  <c r="AJ355" i="17"/>
  <c r="AQ355" i="17" s="1"/>
  <c r="AC355" i="17" s="1"/>
  <c r="AI355" i="17"/>
  <c r="V355" i="17" s="1"/>
  <c r="AH355" i="17"/>
  <c r="AF355" i="17"/>
  <c r="AE355" i="17"/>
  <c r="AD355" i="17"/>
  <c r="AB355" i="17"/>
  <c r="Y355" i="17"/>
  <c r="W355" i="17"/>
  <c r="AS354" i="17"/>
  <c r="AM354" i="17"/>
  <c r="AK354" i="17"/>
  <c r="AL354" i="17" s="1"/>
  <c r="AN354" i="17" s="1"/>
  <c r="AJ354" i="17"/>
  <c r="AI354" i="17"/>
  <c r="AH354" i="17"/>
  <c r="AE354" i="17"/>
  <c r="AD354" i="17"/>
  <c r="W354" i="17"/>
  <c r="V354" i="17"/>
  <c r="AK353" i="17"/>
  <c r="AL353" i="17" s="1"/>
  <c r="AJ353" i="17"/>
  <c r="AS353" i="17" s="1"/>
  <c r="AI353" i="17"/>
  <c r="V353" i="17" s="1"/>
  <c r="AH353" i="17"/>
  <c r="AE353" i="17"/>
  <c r="AD353" i="17"/>
  <c r="W353" i="17"/>
  <c r="AS352" i="17"/>
  <c r="AK352" i="17"/>
  <c r="AL352" i="17" s="1"/>
  <c r="AJ352" i="17"/>
  <c r="AI352" i="17"/>
  <c r="AH352" i="17"/>
  <c r="AE352" i="17"/>
  <c r="AD352" i="17"/>
  <c r="AA352" i="17"/>
  <c r="W352" i="17"/>
  <c r="V352" i="17"/>
  <c r="AS351" i="17"/>
  <c r="AK351" i="17"/>
  <c r="AL351" i="17" s="1"/>
  <c r="AJ351" i="17"/>
  <c r="AI351" i="17"/>
  <c r="V351" i="17" s="1"/>
  <c r="AH351" i="17"/>
  <c r="AE351" i="17"/>
  <c r="AD351" i="17"/>
  <c r="AA351" i="17"/>
  <c r="W351" i="17"/>
  <c r="R351" i="17"/>
  <c r="W345" i="17" s="1"/>
  <c r="R350" i="17"/>
  <c r="R349" i="17"/>
  <c r="AD343" i="17" s="1"/>
  <c r="AA348" i="17"/>
  <c r="AC347" i="17"/>
  <c r="AA347" i="17"/>
  <c r="W347" i="17"/>
  <c r="W346" i="17"/>
  <c r="AA344" i="17"/>
  <c r="X344" i="17"/>
  <c r="W344" i="17"/>
  <c r="R343" i="17"/>
  <c r="AM351" i="17" s="1"/>
  <c r="AF342" i="17"/>
  <c r="AD342" i="17"/>
  <c r="AF341" i="17"/>
  <c r="AD341" i="17"/>
  <c r="AA341" i="17"/>
  <c r="W341" i="17"/>
  <c r="V336" i="17"/>
  <c r="V335" i="17"/>
  <c r="V334" i="17"/>
  <c r="V331" i="17"/>
  <c r="V330" i="17"/>
  <c r="V329" i="17"/>
  <c r="V328" i="17"/>
  <c r="V327" i="17"/>
  <c r="V326" i="17"/>
  <c r="V325" i="17"/>
  <c r="V324" i="17"/>
  <c r="AS321" i="17"/>
  <c r="AR321" i="17"/>
  <c r="AQ321" i="17"/>
  <c r="AP321" i="17"/>
  <c r="AO321" i="17"/>
  <c r="AN321" i="17"/>
  <c r="X321" i="17" s="1"/>
  <c r="AM321" i="17"/>
  <c r="AL321" i="17"/>
  <c r="AK321" i="17"/>
  <c r="AJ321" i="17"/>
  <c r="AA321" i="17" s="1"/>
  <c r="AI321" i="17"/>
  <c r="V321" i="17" s="1"/>
  <c r="AH321" i="17"/>
  <c r="AF321" i="17"/>
  <c r="AE321" i="17"/>
  <c r="AD321" i="17"/>
  <c r="AC321" i="17"/>
  <c r="AB321" i="17"/>
  <c r="Y321" i="17"/>
  <c r="W321" i="17"/>
  <c r="AS320" i="17"/>
  <c r="AR320" i="17"/>
  <c r="AQ320" i="17"/>
  <c r="AP320" i="17"/>
  <c r="AO320" i="17"/>
  <c r="AN320" i="17"/>
  <c r="AM320" i="17"/>
  <c r="AL320" i="17"/>
  <c r="AK320" i="17"/>
  <c r="AJ320" i="17"/>
  <c r="AI320" i="17"/>
  <c r="V320" i="17" s="1"/>
  <c r="AH320" i="17"/>
  <c r="AF320" i="17"/>
  <c r="AE320" i="17"/>
  <c r="AD320" i="17"/>
  <c r="AC320" i="17"/>
  <c r="AB320" i="17"/>
  <c r="AA320" i="17"/>
  <c r="Y320" i="17"/>
  <c r="X320" i="17"/>
  <c r="W320" i="17"/>
  <c r="AS319" i="17"/>
  <c r="AR319" i="17"/>
  <c r="AP319" i="17"/>
  <c r="AB319" i="17" s="1"/>
  <c r="AO319" i="17"/>
  <c r="AN319" i="17"/>
  <c r="X319" i="17" s="1"/>
  <c r="AL319" i="17"/>
  <c r="AK319" i="17"/>
  <c r="AJ319" i="17"/>
  <c r="AA319" i="17" s="1"/>
  <c r="AI319" i="17"/>
  <c r="V319" i="17" s="1"/>
  <c r="AH319" i="17"/>
  <c r="AF319" i="17"/>
  <c r="AE319" i="17"/>
  <c r="AD319" i="17"/>
  <c r="Y319" i="17"/>
  <c r="W319" i="17"/>
  <c r="AS318" i="17"/>
  <c r="AM318" i="17"/>
  <c r="AK318" i="17"/>
  <c r="AL318" i="17" s="1"/>
  <c r="AN318" i="17" s="1"/>
  <c r="AJ318" i="17"/>
  <c r="AI318" i="17"/>
  <c r="AH318" i="17"/>
  <c r="AE318" i="17"/>
  <c r="AD318" i="17"/>
  <c r="W318" i="17"/>
  <c r="V318" i="17"/>
  <c r="AK317" i="17"/>
  <c r="AL317" i="17" s="1"/>
  <c r="AJ317" i="17"/>
  <c r="AS317" i="17" s="1"/>
  <c r="AI317" i="17"/>
  <c r="V317" i="17" s="1"/>
  <c r="AH317" i="17"/>
  <c r="AE317" i="17"/>
  <c r="AD317" i="17"/>
  <c r="W317" i="17"/>
  <c r="AS316" i="17"/>
  <c r="AK316" i="17"/>
  <c r="AL316" i="17" s="1"/>
  <c r="AJ316" i="17"/>
  <c r="AI316" i="17"/>
  <c r="AH316" i="17"/>
  <c r="AE316" i="17"/>
  <c r="AD316" i="17"/>
  <c r="AA316" i="17"/>
  <c r="W316" i="17"/>
  <c r="V316" i="17"/>
  <c r="AS315" i="17"/>
  <c r="AL315" i="17"/>
  <c r="AK315" i="17"/>
  <c r="AJ315" i="17"/>
  <c r="AA315" i="17" s="1"/>
  <c r="AI315" i="17"/>
  <c r="V315" i="17" s="1"/>
  <c r="AH315" i="17"/>
  <c r="AE315" i="17"/>
  <c r="AD315" i="17"/>
  <c r="W315" i="17"/>
  <c r="R315" i="17"/>
  <c r="W309" i="17" s="1"/>
  <c r="R314" i="17"/>
  <c r="R313" i="17"/>
  <c r="AD307" i="17" s="1"/>
  <c r="AA312" i="17"/>
  <c r="AC311" i="17"/>
  <c r="AA311" i="17"/>
  <c r="W311" i="17"/>
  <c r="W310" i="17"/>
  <c r="AA308" i="17"/>
  <c r="X308" i="17"/>
  <c r="W308" i="17"/>
  <c r="R307" i="17"/>
  <c r="AM316" i="17" s="1"/>
  <c r="AF306" i="17"/>
  <c r="AF305" i="17"/>
  <c r="AD305" i="17"/>
  <c r="AA305" i="17"/>
  <c r="W305" i="17"/>
  <c r="V300" i="17"/>
  <c r="V299" i="17"/>
  <c r="V298" i="17"/>
  <c r="V295" i="17"/>
  <c r="V294" i="17"/>
  <c r="V293" i="17"/>
  <c r="V292" i="17"/>
  <c r="V291" i="17"/>
  <c r="V290" i="17"/>
  <c r="V289" i="17"/>
  <c r="V288" i="17"/>
  <c r="AS285" i="17"/>
  <c r="AR285" i="17"/>
  <c r="AQ285" i="17"/>
  <c r="AP285" i="17"/>
  <c r="AO285" i="17"/>
  <c r="AN285" i="17"/>
  <c r="X285" i="17" s="1"/>
  <c r="AM285" i="17"/>
  <c r="AL285" i="17"/>
  <c r="AK285" i="17"/>
  <c r="AJ285" i="17"/>
  <c r="AA285" i="17" s="1"/>
  <c r="AI285" i="17"/>
  <c r="V285" i="17" s="1"/>
  <c r="AH285" i="17"/>
  <c r="AF285" i="17"/>
  <c r="AE285" i="17"/>
  <c r="AD285" i="17"/>
  <c r="AC285" i="17"/>
  <c r="AB285" i="17"/>
  <c r="Y285" i="17"/>
  <c r="W285" i="17"/>
  <c r="AS284" i="17"/>
  <c r="AR284" i="17"/>
  <c r="AQ284" i="17"/>
  <c r="AP284" i="17"/>
  <c r="AO284" i="17"/>
  <c r="AN284" i="17"/>
  <c r="X284" i="17" s="1"/>
  <c r="AM284" i="17"/>
  <c r="AL284" i="17"/>
  <c r="AK284" i="17"/>
  <c r="AJ284" i="17"/>
  <c r="AI284" i="17"/>
  <c r="V284" i="17" s="1"/>
  <c r="AH284" i="17"/>
  <c r="AF284" i="17"/>
  <c r="AE284" i="17"/>
  <c r="AD284" i="17"/>
  <c r="AC284" i="17"/>
  <c r="AB284" i="17"/>
  <c r="AA284" i="17"/>
  <c r="Y284" i="17"/>
  <c r="W284" i="17"/>
  <c r="AS283" i="17"/>
  <c r="AR283" i="17"/>
  <c r="AP283" i="17"/>
  <c r="AB283" i="17" s="1"/>
  <c r="AO283" i="17"/>
  <c r="AN283" i="17"/>
  <c r="X283" i="17" s="1"/>
  <c r="AL283" i="17"/>
  <c r="AK283" i="17"/>
  <c r="AJ283" i="17"/>
  <c r="AA283" i="17" s="1"/>
  <c r="AI283" i="17"/>
  <c r="V283" i="17" s="1"/>
  <c r="AH283" i="17"/>
  <c r="AF283" i="17"/>
  <c r="AE283" i="17"/>
  <c r="AD283" i="17"/>
  <c r="Y283" i="17"/>
  <c r="W283" i="17"/>
  <c r="AS282" i="17"/>
  <c r="AM282" i="17"/>
  <c r="AK282" i="17"/>
  <c r="AL282" i="17" s="1"/>
  <c r="AN282" i="17" s="1"/>
  <c r="AJ282" i="17"/>
  <c r="AI282" i="17"/>
  <c r="V282" i="17" s="1"/>
  <c r="AH282" i="17"/>
  <c r="AE282" i="17"/>
  <c r="AD282" i="17"/>
  <c r="W282" i="17"/>
  <c r="AK281" i="17"/>
  <c r="AL281" i="17" s="1"/>
  <c r="AJ281" i="17"/>
  <c r="AS281" i="17" s="1"/>
  <c r="AI281" i="17"/>
  <c r="V281" i="17" s="1"/>
  <c r="AH281" i="17"/>
  <c r="AE281" i="17"/>
  <c r="AD281" i="17"/>
  <c r="W281" i="17"/>
  <c r="AS280" i="17"/>
  <c r="AK280" i="17"/>
  <c r="AL280" i="17" s="1"/>
  <c r="AJ280" i="17"/>
  <c r="AA280" i="17" s="1"/>
  <c r="AI280" i="17"/>
  <c r="V280" i="17" s="1"/>
  <c r="AH280" i="17"/>
  <c r="AE280" i="17"/>
  <c r="AD280" i="17"/>
  <c r="W280" i="17"/>
  <c r="AS279" i="17"/>
  <c r="AK279" i="17"/>
  <c r="AL279" i="17" s="1"/>
  <c r="AJ279" i="17"/>
  <c r="AI279" i="17"/>
  <c r="V279" i="17" s="1"/>
  <c r="AH279" i="17"/>
  <c r="AE279" i="17"/>
  <c r="AD279" i="17"/>
  <c r="AA279" i="17"/>
  <c r="W279" i="17"/>
  <c r="R279" i="17"/>
  <c r="W273" i="17" s="1"/>
  <c r="R278" i="17"/>
  <c r="R277" i="17"/>
  <c r="AA276" i="17"/>
  <c r="AC275" i="17"/>
  <c r="AA275" i="17"/>
  <c r="W275" i="17"/>
  <c r="W274" i="17"/>
  <c r="AA272" i="17"/>
  <c r="X272" i="17"/>
  <c r="W272" i="17"/>
  <c r="AD271" i="17"/>
  <c r="R271" i="17"/>
  <c r="AM279" i="17" s="1"/>
  <c r="AF270" i="17"/>
  <c r="AD270" i="17"/>
  <c r="AF269" i="17"/>
  <c r="AD269" i="17"/>
  <c r="AA269" i="17"/>
  <c r="W269" i="17"/>
  <c r="V264" i="17"/>
  <c r="V263" i="17"/>
  <c r="V262" i="17"/>
  <c r="V259" i="17"/>
  <c r="V258" i="17"/>
  <c r="V257" i="17"/>
  <c r="V256" i="17"/>
  <c r="V255" i="17"/>
  <c r="V254" i="17"/>
  <c r="V253" i="17"/>
  <c r="V252" i="17"/>
  <c r="AS249" i="17"/>
  <c r="AR249" i="17"/>
  <c r="AQ249" i="17"/>
  <c r="AP249" i="17"/>
  <c r="AO249" i="17"/>
  <c r="AN249" i="17"/>
  <c r="X249" i="17" s="1"/>
  <c r="AM249" i="17"/>
  <c r="AL249" i="17"/>
  <c r="AK249" i="17"/>
  <c r="AJ249" i="17"/>
  <c r="AA249" i="17" s="1"/>
  <c r="AI249" i="17"/>
  <c r="V249" i="17" s="1"/>
  <c r="AH249" i="17"/>
  <c r="AF249" i="17"/>
  <c r="AE249" i="17"/>
  <c r="AD249" i="17"/>
  <c r="AC249" i="17"/>
  <c r="AB249" i="17"/>
  <c r="Y249" i="17"/>
  <c r="W249" i="17"/>
  <c r="AS248" i="17"/>
  <c r="AR248" i="17"/>
  <c r="AQ248" i="17"/>
  <c r="AP248" i="17"/>
  <c r="AO248" i="17"/>
  <c r="AN248" i="17"/>
  <c r="AM248" i="17"/>
  <c r="AL248" i="17"/>
  <c r="AK248" i="17"/>
  <c r="AJ248" i="17"/>
  <c r="AA248" i="17" s="1"/>
  <c r="AI248" i="17"/>
  <c r="V248" i="17" s="1"/>
  <c r="AH248" i="17"/>
  <c r="AF248" i="17"/>
  <c r="AE248" i="17"/>
  <c r="AD248" i="17"/>
  <c r="AC248" i="17"/>
  <c r="AB248" i="17"/>
  <c r="Y248" i="17"/>
  <c r="X248" i="17"/>
  <c r="W248" i="17"/>
  <c r="AS247" i="17"/>
  <c r="AR247" i="17"/>
  <c r="AP247" i="17"/>
  <c r="AB247" i="17" s="1"/>
  <c r="AO247" i="17"/>
  <c r="AN247" i="17"/>
  <c r="X247" i="17" s="1"/>
  <c r="AL247" i="17"/>
  <c r="AK247" i="17"/>
  <c r="AJ247" i="17"/>
  <c r="AA247" i="17" s="1"/>
  <c r="AI247" i="17"/>
  <c r="V247" i="17" s="1"/>
  <c r="AH247" i="17"/>
  <c r="AF247" i="17"/>
  <c r="AE247" i="17"/>
  <c r="AD247" i="17"/>
  <c r="Y247" i="17"/>
  <c r="W247" i="17"/>
  <c r="AS246" i="17"/>
  <c r="AM246" i="17"/>
  <c r="AK246" i="17"/>
  <c r="AL246" i="17" s="1"/>
  <c r="AN246" i="17" s="1"/>
  <c r="AJ246" i="17"/>
  <c r="AI246" i="17"/>
  <c r="AH246" i="17"/>
  <c r="AE246" i="17"/>
  <c r="AD246" i="17"/>
  <c r="W246" i="17"/>
  <c r="V246" i="17"/>
  <c r="AK245" i="17"/>
  <c r="AL245" i="17" s="1"/>
  <c r="AN245" i="17" s="1"/>
  <c r="AJ245" i="17"/>
  <c r="AS245" i="17" s="1"/>
  <c r="AI245" i="17"/>
  <c r="V245" i="17" s="1"/>
  <c r="AH245" i="17"/>
  <c r="AE245" i="17"/>
  <c r="AD245" i="17"/>
  <c r="W245" i="17"/>
  <c r="AS244" i="17"/>
  <c r="AK244" i="17"/>
  <c r="AL244" i="17" s="1"/>
  <c r="AJ244" i="17"/>
  <c r="AI244" i="17"/>
  <c r="AH244" i="17"/>
  <c r="AE244" i="17"/>
  <c r="AD244" i="17"/>
  <c r="AA244" i="17"/>
  <c r="W244" i="17"/>
  <c r="V244" i="17"/>
  <c r="AS243" i="17"/>
  <c r="AK243" i="17"/>
  <c r="AL243" i="17" s="1"/>
  <c r="AJ243" i="17"/>
  <c r="AI243" i="17"/>
  <c r="V243" i="17" s="1"/>
  <c r="AH243" i="17"/>
  <c r="AE243" i="17"/>
  <c r="AD243" i="17"/>
  <c r="AA243" i="17"/>
  <c r="W243" i="17"/>
  <c r="R243" i="17"/>
  <c r="AD236" i="17" s="1"/>
  <c r="R242" i="17"/>
  <c r="R241" i="17"/>
  <c r="AD235" i="17" s="1"/>
  <c r="AA240" i="17"/>
  <c r="AC239" i="17"/>
  <c r="AA239" i="17"/>
  <c r="W239" i="17"/>
  <c r="W238" i="17"/>
  <c r="AA236" i="17"/>
  <c r="X236" i="17"/>
  <c r="W236" i="17"/>
  <c r="R235" i="17"/>
  <c r="AM245" i="17" s="1"/>
  <c r="AF234" i="17"/>
  <c r="AD234" i="17"/>
  <c r="AF233" i="17"/>
  <c r="AD233" i="17"/>
  <c r="AA233" i="17"/>
  <c r="W233" i="17"/>
  <c r="V228" i="17"/>
  <c r="V227" i="17"/>
  <c r="V226" i="17"/>
  <c r="V223" i="17"/>
  <c r="V222" i="17"/>
  <c r="V221" i="17"/>
  <c r="V220" i="17"/>
  <c r="V219" i="17"/>
  <c r="V218" i="17"/>
  <c r="V217" i="17"/>
  <c r="V216" i="17"/>
  <c r="AS213" i="17"/>
  <c r="AR213" i="17"/>
  <c r="AQ213" i="17"/>
  <c r="AP213" i="17"/>
  <c r="AO213" i="17"/>
  <c r="AN213" i="17"/>
  <c r="X213" i="17" s="1"/>
  <c r="AM213" i="17"/>
  <c r="AL213" i="17"/>
  <c r="AK213" i="17"/>
  <c r="AJ213" i="17"/>
  <c r="AA213" i="17" s="1"/>
  <c r="AI213" i="17"/>
  <c r="V213" i="17" s="1"/>
  <c r="AH213" i="17"/>
  <c r="AF213" i="17"/>
  <c r="AE213" i="17"/>
  <c r="AD213" i="17"/>
  <c r="AC213" i="17"/>
  <c r="AB213" i="17"/>
  <c r="Y213" i="17"/>
  <c r="W213" i="17"/>
  <c r="AS212" i="17"/>
  <c r="AR212" i="17"/>
  <c r="AQ212" i="17"/>
  <c r="AP212" i="17"/>
  <c r="AO212" i="17"/>
  <c r="AN212" i="17"/>
  <c r="X212" i="17" s="1"/>
  <c r="AM212" i="17"/>
  <c r="AL212" i="17"/>
  <c r="AK212" i="17"/>
  <c r="AJ212" i="17"/>
  <c r="AI212" i="17"/>
  <c r="V212" i="17" s="1"/>
  <c r="AH212" i="17"/>
  <c r="AF212" i="17"/>
  <c r="AE212" i="17"/>
  <c r="AD212" i="17"/>
  <c r="AC212" i="17"/>
  <c r="AB212" i="17"/>
  <c r="AA212" i="17"/>
  <c r="Y212" i="17"/>
  <c r="W212" i="17"/>
  <c r="AS211" i="17"/>
  <c r="AR211" i="17"/>
  <c r="AP211" i="17"/>
  <c r="AB211" i="17" s="1"/>
  <c r="AO211" i="17"/>
  <c r="AN211" i="17"/>
  <c r="X211" i="17" s="1"/>
  <c r="AL211" i="17"/>
  <c r="AK211" i="17"/>
  <c r="AJ211" i="17"/>
  <c r="AA211" i="17" s="1"/>
  <c r="AI211" i="17"/>
  <c r="V211" i="17" s="1"/>
  <c r="AH211" i="17"/>
  <c r="AF211" i="17"/>
  <c r="AE211" i="17"/>
  <c r="AD211" i="17"/>
  <c r="Y211" i="17"/>
  <c r="W211" i="17"/>
  <c r="AS210" i="17"/>
  <c r="AM210" i="17"/>
  <c r="AK210" i="17"/>
  <c r="AL210" i="17" s="1"/>
  <c r="AN210" i="17" s="1"/>
  <c r="AJ210" i="17"/>
  <c r="AI210" i="17"/>
  <c r="AH210" i="17"/>
  <c r="AE210" i="17"/>
  <c r="AD210" i="17"/>
  <c r="W210" i="17"/>
  <c r="V210" i="17"/>
  <c r="AK209" i="17"/>
  <c r="AL209" i="17" s="1"/>
  <c r="AN209" i="17" s="1"/>
  <c r="AJ209" i="17"/>
  <c r="AS209" i="17" s="1"/>
  <c r="AI209" i="17"/>
  <c r="V209" i="17" s="1"/>
  <c r="AH209" i="17"/>
  <c r="AE209" i="17"/>
  <c r="AD209" i="17"/>
  <c r="W209" i="17"/>
  <c r="AS208" i="17"/>
  <c r="AK208" i="17"/>
  <c r="AL208" i="17" s="1"/>
  <c r="AJ208" i="17"/>
  <c r="AA208" i="17" s="1"/>
  <c r="AI208" i="17"/>
  <c r="AH208" i="17"/>
  <c r="AE208" i="17"/>
  <c r="AD208" i="17"/>
  <c r="W208" i="17"/>
  <c r="V208" i="17"/>
  <c r="AS207" i="17"/>
  <c r="AK207" i="17"/>
  <c r="AL207" i="17" s="1"/>
  <c r="AJ207" i="17"/>
  <c r="AI207" i="17"/>
  <c r="V207" i="17" s="1"/>
  <c r="AH207" i="17"/>
  <c r="AE207" i="17"/>
  <c r="AD207" i="17"/>
  <c r="AA207" i="17"/>
  <c r="W207" i="17"/>
  <c r="R207" i="17"/>
  <c r="AD200" i="17" s="1"/>
  <c r="R206" i="17"/>
  <c r="R205" i="17"/>
  <c r="AA204" i="17"/>
  <c r="AC203" i="17"/>
  <c r="AA203" i="17"/>
  <c r="W203" i="17"/>
  <c r="W202" i="17"/>
  <c r="AA200" i="17"/>
  <c r="X200" i="17"/>
  <c r="W200" i="17"/>
  <c r="AD199" i="17"/>
  <c r="R199" i="17"/>
  <c r="AM209" i="17" s="1"/>
  <c r="AF198" i="17"/>
  <c r="AD198" i="17"/>
  <c r="AF197" i="17"/>
  <c r="AD197" i="17"/>
  <c r="AA197" i="17"/>
  <c r="W197" i="17"/>
  <c r="V192" i="17"/>
  <c r="V191" i="17"/>
  <c r="V190" i="17"/>
  <c r="V187" i="17"/>
  <c r="V186" i="17"/>
  <c r="V185" i="17"/>
  <c r="V184" i="17"/>
  <c r="V183" i="17"/>
  <c r="V182" i="17"/>
  <c r="V181" i="17"/>
  <c r="V180" i="17"/>
  <c r="AS177" i="17"/>
  <c r="AR177" i="17"/>
  <c r="AQ177" i="17"/>
  <c r="AP177" i="17"/>
  <c r="AO177" i="17"/>
  <c r="AN177" i="17"/>
  <c r="X177" i="17" s="1"/>
  <c r="AM177" i="17"/>
  <c r="AL177" i="17"/>
  <c r="AK177" i="17"/>
  <c r="AJ177" i="17"/>
  <c r="AA177" i="17" s="1"/>
  <c r="AI177" i="17"/>
  <c r="V177" i="17" s="1"/>
  <c r="AH177" i="17"/>
  <c r="AF177" i="17"/>
  <c r="AE177" i="17"/>
  <c r="AD177" i="17"/>
  <c r="AC177" i="17"/>
  <c r="AB177" i="17"/>
  <c r="Y177" i="17"/>
  <c r="W177" i="17"/>
  <c r="AS176" i="17"/>
  <c r="AR176" i="17"/>
  <c r="AQ176" i="17"/>
  <c r="AP176" i="17"/>
  <c r="AO176" i="17"/>
  <c r="AN176" i="17"/>
  <c r="X176" i="17" s="1"/>
  <c r="AM176" i="17"/>
  <c r="AL176" i="17"/>
  <c r="AK176" i="17"/>
  <c r="AJ176" i="17"/>
  <c r="AA176" i="17" s="1"/>
  <c r="AI176" i="17"/>
  <c r="V176" i="17" s="1"/>
  <c r="AH176" i="17"/>
  <c r="AF176" i="17"/>
  <c r="AE176" i="17"/>
  <c r="AD176" i="17"/>
  <c r="AC176" i="17"/>
  <c r="AB176" i="17"/>
  <c r="Y176" i="17"/>
  <c r="W176" i="17"/>
  <c r="AS175" i="17"/>
  <c r="AR175" i="17"/>
  <c r="AP175" i="17"/>
  <c r="AB175" i="17" s="1"/>
  <c r="AO175" i="17"/>
  <c r="AN175" i="17"/>
  <c r="X175" i="17" s="1"/>
  <c r="AL175" i="17"/>
  <c r="AK175" i="17"/>
  <c r="AJ175" i="17"/>
  <c r="AA175" i="17" s="1"/>
  <c r="AI175" i="17"/>
  <c r="V175" i="17" s="1"/>
  <c r="AH175" i="17"/>
  <c r="AF175" i="17"/>
  <c r="AE175" i="17"/>
  <c r="AD175" i="17"/>
  <c r="Y175" i="17"/>
  <c r="W175" i="17"/>
  <c r="AS174" i="17"/>
  <c r="AM174" i="17"/>
  <c r="AK174" i="17"/>
  <c r="AL174" i="17" s="1"/>
  <c r="AN174" i="17" s="1"/>
  <c r="AJ174" i="17"/>
  <c r="AI174" i="17"/>
  <c r="AH174" i="17"/>
  <c r="AE174" i="17"/>
  <c r="AD174" i="17"/>
  <c r="W174" i="17"/>
  <c r="V174" i="17"/>
  <c r="AK173" i="17"/>
  <c r="AL173" i="17" s="1"/>
  <c r="AJ173" i="17"/>
  <c r="AS173" i="17" s="1"/>
  <c r="AI173" i="17"/>
  <c r="V173" i="17" s="1"/>
  <c r="AH173" i="17"/>
  <c r="AE173" i="17"/>
  <c r="AD173" i="17"/>
  <c r="W173" i="17"/>
  <c r="AS172" i="17"/>
  <c r="AK172" i="17"/>
  <c r="AL172" i="17" s="1"/>
  <c r="AJ172" i="17"/>
  <c r="AI172" i="17"/>
  <c r="AH172" i="17"/>
  <c r="AE172" i="17"/>
  <c r="AD172" i="17"/>
  <c r="AA172" i="17"/>
  <c r="W172" i="17"/>
  <c r="V172" i="17"/>
  <c r="AS171" i="17"/>
  <c r="AL171" i="17"/>
  <c r="AK171" i="17"/>
  <c r="AJ171" i="17"/>
  <c r="AI171" i="17"/>
  <c r="V171" i="17" s="1"/>
  <c r="AH171" i="17"/>
  <c r="AE171" i="17"/>
  <c r="AD171" i="17"/>
  <c r="AA171" i="17"/>
  <c r="W171" i="17"/>
  <c r="R171" i="17"/>
  <c r="W165" i="17" s="1"/>
  <c r="R170" i="17"/>
  <c r="R169" i="17"/>
  <c r="AD163" i="17" s="1"/>
  <c r="AA168" i="17"/>
  <c r="AC167" i="17"/>
  <c r="AA167" i="17"/>
  <c r="W167" i="17"/>
  <c r="W166" i="17"/>
  <c r="AA164" i="17"/>
  <c r="X164" i="17"/>
  <c r="W164" i="17"/>
  <c r="R163" i="17"/>
  <c r="AM175" i="17" s="1"/>
  <c r="AF162" i="17"/>
  <c r="AD162" i="17"/>
  <c r="AF161" i="17"/>
  <c r="AD161" i="17"/>
  <c r="AA161" i="17"/>
  <c r="W161" i="17"/>
  <c r="V156" i="17"/>
  <c r="V155" i="17"/>
  <c r="V154" i="17"/>
  <c r="V151" i="17"/>
  <c r="V150" i="17"/>
  <c r="V149" i="17"/>
  <c r="V148" i="17"/>
  <c r="V147" i="17"/>
  <c r="V146" i="17"/>
  <c r="V145" i="17"/>
  <c r="V144" i="17"/>
  <c r="AS141" i="17"/>
  <c r="AR141" i="17"/>
  <c r="AQ141" i="17"/>
  <c r="AP141" i="17"/>
  <c r="AO141" i="17"/>
  <c r="AN141" i="17"/>
  <c r="X141" i="17" s="1"/>
  <c r="AM141" i="17"/>
  <c r="AL141" i="17"/>
  <c r="AK141" i="17"/>
  <c r="AJ141" i="17"/>
  <c r="AA141" i="17" s="1"/>
  <c r="AI141" i="17"/>
  <c r="V141" i="17" s="1"/>
  <c r="AH141" i="17"/>
  <c r="AF141" i="17"/>
  <c r="AE141" i="17"/>
  <c r="AD141" i="17"/>
  <c r="AC141" i="17"/>
  <c r="AB141" i="17"/>
  <c r="Y141" i="17"/>
  <c r="W141" i="17"/>
  <c r="AS140" i="17"/>
  <c r="AR140" i="17"/>
  <c r="AQ140" i="17"/>
  <c r="AP140" i="17"/>
  <c r="AO140" i="17"/>
  <c r="AN140" i="17"/>
  <c r="AM140" i="17"/>
  <c r="AL140" i="17"/>
  <c r="AK140" i="17"/>
  <c r="AJ140" i="17"/>
  <c r="AI140" i="17"/>
  <c r="V140" i="17" s="1"/>
  <c r="AH140" i="17"/>
  <c r="AF140" i="17"/>
  <c r="AE140" i="17"/>
  <c r="AD140" i="17"/>
  <c r="AC140" i="17"/>
  <c r="AB140" i="17"/>
  <c r="AA140" i="17"/>
  <c r="Y140" i="17"/>
  <c r="X140" i="17"/>
  <c r="W140" i="17"/>
  <c r="AS139" i="17"/>
  <c r="AR139" i="17"/>
  <c r="AP139" i="17"/>
  <c r="AB139" i="17" s="1"/>
  <c r="AO139" i="17"/>
  <c r="AN139" i="17"/>
  <c r="X139" i="17" s="1"/>
  <c r="AL139" i="17"/>
  <c r="AK139" i="17"/>
  <c r="AJ139" i="17"/>
  <c r="AA139" i="17" s="1"/>
  <c r="AI139" i="17"/>
  <c r="V139" i="17" s="1"/>
  <c r="AH139" i="17"/>
  <c r="AF139" i="17"/>
  <c r="AE139" i="17"/>
  <c r="AD139" i="17"/>
  <c r="Y139" i="17"/>
  <c r="W139" i="17"/>
  <c r="AS138" i="17"/>
  <c r="AK138" i="17"/>
  <c r="AL138" i="17" s="1"/>
  <c r="AJ138" i="17"/>
  <c r="AI138" i="17"/>
  <c r="AH138" i="17"/>
  <c r="AE138" i="17"/>
  <c r="AD138" i="17"/>
  <c r="W138" i="17"/>
  <c r="V138" i="17"/>
  <c r="AL137" i="17"/>
  <c r="AK137" i="17"/>
  <c r="AJ137" i="17"/>
  <c r="AS137" i="17" s="1"/>
  <c r="AI137" i="17"/>
  <c r="V137" i="17" s="1"/>
  <c r="AH137" i="17"/>
  <c r="AE137" i="17"/>
  <c r="AD137" i="17"/>
  <c r="W137" i="17"/>
  <c r="AS136" i="17"/>
  <c r="AL136" i="17"/>
  <c r="AK136" i="17"/>
  <c r="AJ136" i="17"/>
  <c r="AI136" i="17"/>
  <c r="AH136" i="17"/>
  <c r="AE136" i="17"/>
  <c r="AD136" i="17"/>
  <c r="AA136" i="17"/>
  <c r="W136" i="17"/>
  <c r="V136" i="17"/>
  <c r="AS135" i="17"/>
  <c r="AK135" i="17"/>
  <c r="AL135" i="17" s="1"/>
  <c r="AJ135" i="17"/>
  <c r="AI135" i="17"/>
  <c r="V135" i="17" s="1"/>
  <c r="AH135" i="17"/>
  <c r="AE135" i="17"/>
  <c r="AD135" i="17"/>
  <c r="W135" i="17"/>
  <c r="R135" i="17"/>
  <c r="W129" i="17" s="1"/>
  <c r="R134" i="17"/>
  <c r="R133" i="17"/>
  <c r="AD127" i="17" s="1"/>
  <c r="AA132" i="17"/>
  <c r="AC131" i="17"/>
  <c r="AA131" i="17"/>
  <c r="W131" i="17"/>
  <c r="W130" i="17"/>
  <c r="AD128" i="17"/>
  <c r="AA128" i="17"/>
  <c r="X128" i="17"/>
  <c r="W128" i="17"/>
  <c r="R127" i="17"/>
  <c r="AM136" i="17" s="1"/>
  <c r="AF126" i="17"/>
  <c r="AF125" i="17"/>
  <c r="AD125" i="17"/>
  <c r="AA125" i="17"/>
  <c r="W125" i="17"/>
  <c r="V120" i="17"/>
  <c r="V119" i="17"/>
  <c r="V118" i="17"/>
  <c r="V115" i="17"/>
  <c r="V114" i="17"/>
  <c r="V113" i="17"/>
  <c r="V112" i="17"/>
  <c r="V111" i="17"/>
  <c r="V110" i="17"/>
  <c r="V109" i="17"/>
  <c r="V108" i="17"/>
  <c r="AS105" i="17"/>
  <c r="AR105" i="17"/>
  <c r="AQ105" i="17"/>
  <c r="AP105" i="17"/>
  <c r="AO105" i="17"/>
  <c r="AN105" i="17"/>
  <c r="X105" i="17" s="1"/>
  <c r="AM105" i="17"/>
  <c r="AL105" i="17"/>
  <c r="AK105" i="17"/>
  <c r="AJ105" i="17"/>
  <c r="AA105" i="17" s="1"/>
  <c r="AI105" i="17"/>
  <c r="V105" i="17" s="1"/>
  <c r="AH105" i="17"/>
  <c r="AF105" i="17"/>
  <c r="AE105" i="17"/>
  <c r="AD105" i="17"/>
  <c r="AC105" i="17"/>
  <c r="AB105" i="17"/>
  <c r="Y105" i="17"/>
  <c r="W105" i="17"/>
  <c r="AS104" i="17"/>
  <c r="AR104" i="17"/>
  <c r="AQ104" i="17"/>
  <c r="AP104" i="17"/>
  <c r="AO104" i="17"/>
  <c r="AN104" i="17"/>
  <c r="X104" i="17" s="1"/>
  <c r="AM104" i="17"/>
  <c r="AL104" i="17"/>
  <c r="AK104" i="17"/>
  <c r="AJ104" i="17"/>
  <c r="AA104" i="17" s="1"/>
  <c r="AI104" i="17"/>
  <c r="V104" i="17" s="1"/>
  <c r="AH104" i="17"/>
  <c r="AF104" i="17"/>
  <c r="AE104" i="17"/>
  <c r="AD104" i="17"/>
  <c r="AC104" i="17"/>
  <c r="AB104" i="17"/>
  <c r="Y104" i="17"/>
  <c r="W104" i="17"/>
  <c r="AS103" i="17"/>
  <c r="AR103" i="17"/>
  <c r="AP103" i="17"/>
  <c r="AB103" i="17" s="1"/>
  <c r="AO103" i="17"/>
  <c r="AN103" i="17"/>
  <c r="X103" i="17" s="1"/>
  <c r="AL103" i="17"/>
  <c r="AK103" i="17"/>
  <c r="AJ103" i="17"/>
  <c r="AA103" i="17" s="1"/>
  <c r="AI103" i="17"/>
  <c r="V103" i="17" s="1"/>
  <c r="AH103" i="17"/>
  <c r="AF103" i="17"/>
  <c r="AE103" i="17"/>
  <c r="AD103" i="17"/>
  <c r="Y103" i="17"/>
  <c r="W103" i="17"/>
  <c r="AS102" i="17"/>
  <c r="AM102" i="17"/>
  <c r="AK102" i="17"/>
  <c r="AL102" i="17" s="1"/>
  <c r="AN102" i="17" s="1"/>
  <c r="AJ102" i="17"/>
  <c r="AI102" i="17"/>
  <c r="V102" i="17" s="1"/>
  <c r="AH102" i="17"/>
  <c r="AE102" i="17"/>
  <c r="AD102" i="17"/>
  <c r="W102" i="17"/>
  <c r="AK101" i="17"/>
  <c r="AL101" i="17" s="1"/>
  <c r="AJ101" i="17"/>
  <c r="AS101" i="17" s="1"/>
  <c r="AI101" i="17"/>
  <c r="V101" i="17" s="1"/>
  <c r="AH101" i="17"/>
  <c r="AE101" i="17"/>
  <c r="AD101" i="17"/>
  <c r="W101" i="17"/>
  <c r="AS100" i="17"/>
  <c r="AK100" i="17"/>
  <c r="AL100" i="17" s="1"/>
  <c r="AJ100" i="17"/>
  <c r="AA100" i="17" s="1"/>
  <c r="AI100" i="17"/>
  <c r="V100" i="17" s="1"/>
  <c r="AH100" i="17"/>
  <c r="AE100" i="17"/>
  <c r="AD100" i="17"/>
  <c r="W100" i="17"/>
  <c r="AS99" i="17"/>
  <c r="AL99" i="17"/>
  <c r="AK99" i="17"/>
  <c r="AJ99" i="17"/>
  <c r="AI99" i="17"/>
  <c r="V99" i="17" s="1"/>
  <c r="AH99" i="17"/>
  <c r="AE99" i="17"/>
  <c r="AD99" i="17"/>
  <c r="AA99" i="17"/>
  <c r="W99" i="17"/>
  <c r="R99" i="17"/>
  <c r="W93" i="17" s="1"/>
  <c r="R98" i="17"/>
  <c r="R97" i="17"/>
  <c r="AD91" i="17" s="1"/>
  <c r="AA96" i="17"/>
  <c r="AC95" i="17"/>
  <c r="AA95" i="17"/>
  <c r="W95" i="17"/>
  <c r="W94" i="17"/>
  <c r="AA92" i="17"/>
  <c r="X92" i="17"/>
  <c r="W92" i="17"/>
  <c r="R91" i="17"/>
  <c r="AM100" i="17" s="1"/>
  <c r="AF90" i="17"/>
  <c r="AD90" i="17"/>
  <c r="AF89" i="17"/>
  <c r="AD89" i="17"/>
  <c r="AA89" i="17"/>
  <c r="W89" i="17"/>
  <c r="V84" i="17"/>
  <c r="V83" i="17"/>
  <c r="V82" i="17"/>
  <c r="V79" i="17"/>
  <c r="V78" i="17"/>
  <c r="V77" i="17"/>
  <c r="V76" i="17"/>
  <c r="V75" i="17"/>
  <c r="V74" i="17"/>
  <c r="V73" i="17"/>
  <c r="V72" i="17"/>
  <c r="AS69" i="17"/>
  <c r="AR69" i="17"/>
  <c r="AQ69" i="17"/>
  <c r="AP69" i="17"/>
  <c r="AO69" i="17"/>
  <c r="AN69" i="17"/>
  <c r="X69" i="17" s="1"/>
  <c r="AM69" i="17"/>
  <c r="AL69" i="17"/>
  <c r="AK69" i="17"/>
  <c r="AJ69" i="17"/>
  <c r="AA69" i="17" s="1"/>
  <c r="AI69" i="17"/>
  <c r="V69" i="17" s="1"/>
  <c r="AH69" i="17"/>
  <c r="AF69" i="17"/>
  <c r="AE69" i="17"/>
  <c r="AD69" i="17"/>
  <c r="AC69" i="17"/>
  <c r="AB69" i="17"/>
  <c r="Y69" i="17"/>
  <c r="W69" i="17"/>
  <c r="AS68" i="17"/>
  <c r="AR68" i="17"/>
  <c r="AQ68" i="17"/>
  <c r="AP68" i="17"/>
  <c r="AO68" i="17"/>
  <c r="AN68" i="17"/>
  <c r="X68" i="17" s="1"/>
  <c r="AM68" i="17"/>
  <c r="AL68" i="17"/>
  <c r="AK68" i="17"/>
  <c r="AJ68" i="17"/>
  <c r="AA68" i="17" s="1"/>
  <c r="AI68" i="17"/>
  <c r="V68" i="17" s="1"/>
  <c r="AH68" i="17"/>
  <c r="AF68" i="17"/>
  <c r="AE68" i="17"/>
  <c r="AD68" i="17"/>
  <c r="AC68" i="17"/>
  <c r="AB68" i="17"/>
  <c r="Y68" i="17"/>
  <c r="W68" i="17"/>
  <c r="AS67" i="17"/>
  <c r="AR67" i="17"/>
  <c r="AP67" i="17"/>
  <c r="AB67" i="17" s="1"/>
  <c r="AO67" i="17"/>
  <c r="AN67" i="17"/>
  <c r="X67" i="17" s="1"/>
  <c r="AL67" i="17"/>
  <c r="AK67" i="17"/>
  <c r="AJ67" i="17"/>
  <c r="AQ67" i="17" s="1"/>
  <c r="AC67" i="17" s="1"/>
  <c r="AI67" i="17"/>
  <c r="V67" i="17" s="1"/>
  <c r="AH67" i="17"/>
  <c r="AF67" i="17"/>
  <c r="AE67" i="17"/>
  <c r="AD67" i="17"/>
  <c r="Y67" i="17"/>
  <c r="W67" i="17"/>
  <c r="AS66" i="17"/>
  <c r="AM66" i="17"/>
  <c r="AK66" i="17"/>
  <c r="AL66" i="17" s="1"/>
  <c r="AN66" i="17" s="1"/>
  <c r="AJ66" i="17"/>
  <c r="AI66" i="17"/>
  <c r="AH66" i="17"/>
  <c r="AE66" i="17"/>
  <c r="AD66" i="17"/>
  <c r="W66" i="17"/>
  <c r="V66" i="17"/>
  <c r="AK65" i="17"/>
  <c r="AL65" i="17" s="1"/>
  <c r="AJ65" i="17"/>
  <c r="AS65" i="17" s="1"/>
  <c r="AI65" i="17"/>
  <c r="V65" i="17" s="1"/>
  <c r="AH65" i="17"/>
  <c r="AE65" i="17"/>
  <c r="AD65" i="17"/>
  <c r="W65" i="17"/>
  <c r="AS64" i="17"/>
  <c r="AK64" i="17"/>
  <c r="AL64" i="17" s="1"/>
  <c r="AN64" i="17" s="1"/>
  <c r="AJ64" i="17"/>
  <c r="AI64" i="17"/>
  <c r="AH64" i="17"/>
  <c r="AE64" i="17"/>
  <c r="AD64" i="17"/>
  <c r="AA64" i="17"/>
  <c r="W64" i="17"/>
  <c r="V64" i="17"/>
  <c r="AS63" i="17"/>
  <c r="AK63" i="17"/>
  <c r="AL63" i="17" s="1"/>
  <c r="AJ63" i="17"/>
  <c r="AI63" i="17"/>
  <c r="V63" i="17" s="1"/>
  <c r="AH63" i="17"/>
  <c r="AE63" i="17"/>
  <c r="AD63" i="17"/>
  <c r="AA63" i="17"/>
  <c r="W63" i="17"/>
  <c r="R63" i="17"/>
  <c r="W57" i="17" s="1"/>
  <c r="R62" i="17"/>
  <c r="R61" i="17"/>
  <c r="AD55" i="17" s="1"/>
  <c r="AA60" i="17"/>
  <c r="AC59" i="17"/>
  <c r="AA59" i="17"/>
  <c r="W59" i="17"/>
  <c r="W58" i="17"/>
  <c r="AA56" i="17"/>
  <c r="X56" i="17"/>
  <c r="W56" i="17"/>
  <c r="R55" i="17"/>
  <c r="AM64" i="17" s="1"/>
  <c r="AF54" i="17"/>
  <c r="AD54" i="17"/>
  <c r="AF53" i="17"/>
  <c r="AD53" i="17"/>
  <c r="AA53" i="17"/>
  <c r="W53" i="17"/>
  <c r="V48" i="17"/>
  <c r="V47" i="17"/>
  <c r="V46" i="17"/>
  <c r="V43" i="17"/>
  <c r="V42" i="17"/>
  <c r="V41" i="17"/>
  <c r="V40" i="17"/>
  <c r="V39" i="17"/>
  <c r="V38" i="17"/>
  <c r="V37" i="17"/>
  <c r="V36" i="17"/>
  <c r="AS33" i="17"/>
  <c r="AR33" i="17"/>
  <c r="AQ33" i="17"/>
  <c r="AP33" i="17"/>
  <c r="AO33" i="17"/>
  <c r="AN33" i="17"/>
  <c r="X33" i="17" s="1"/>
  <c r="AM33" i="17"/>
  <c r="AL33" i="17"/>
  <c r="AK33" i="17"/>
  <c r="AJ33" i="17"/>
  <c r="AA33" i="17" s="1"/>
  <c r="AI33" i="17"/>
  <c r="V33" i="17" s="1"/>
  <c r="AH33" i="17"/>
  <c r="AF33" i="17"/>
  <c r="AE33" i="17"/>
  <c r="AD33" i="17"/>
  <c r="AC33" i="17"/>
  <c r="AB33" i="17"/>
  <c r="Y33" i="17"/>
  <c r="W33" i="17"/>
  <c r="AS32" i="17"/>
  <c r="AR32" i="17"/>
  <c r="AQ32" i="17"/>
  <c r="AP32" i="17"/>
  <c r="AO32" i="17"/>
  <c r="AN32" i="17"/>
  <c r="AM32" i="17"/>
  <c r="AL32" i="17"/>
  <c r="AK32" i="17"/>
  <c r="AJ32" i="17"/>
  <c r="AI32" i="17"/>
  <c r="V32" i="17" s="1"/>
  <c r="AH32" i="17"/>
  <c r="AF32" i="17"/>
  <c r="AE32" i="17"/>
  <c r="AD32" i="17"/>
  <c r="AC32" i="17"/>
  <c r="AB32" i="17"/>
  <c r="AA32" i="17"/>
  <c r="Y32" i="17"/>
  <c r="X32" i="17"/>
  <c r="W32" i="17"/>
  <c r="AS31" i="17"/>
  <c r="AR31" i="17"/>
  <c r="AP31" i="17"/>
  <c r="AB31" i="17" s="1"/>
  <c r="AO31" i="17"/>
  <c r="AN31" i="17"/>
  <c r="X31" i="17" s="1"/>
  <c r="AL31" i="17"/>
  <c r="AK31" i="17"/>
  <c r="AJ31" i="17"/>
  <c r="AA31" i="17" s="1"/>
  <c r="AI31" i="17"/>
  <c r="V31" i="17" s="1"/>
  <c r="AH31" i="17"/>
  <c r="AF31" i="17"/>
  <c r="AE31" i="17"/>
  <c r="AD31" i="17"/>
  <c r="Y31" i="17"/>
  <c r="W31" i="17"/>
  <c r="AS30" i="17"/>
  <c r="AM30" i="17"/>
  <c r="AK30" i="17"/>
  <c r="AL30" i="17" s="1"/>
  <c r="AN30" i="17" s="1"/>
  <c r="AJ30" i="17"/>
  <c r="AI30" i="17"/>
  <c r="AH30" i="17"/>
  <c r="AE30" i="17"/>
  <c r="AD30" i="17"/>
  <c r="W30" i="17"/>
  <c r="V30" i="17"/>
  <c r="AK29" i="17"/>
  <c r="AL29" i="17" s="1"/>
  <c r="AJ29" i="17"/>
  <c r="AS29" i="17" s="1"/>
  <c r="AI29" i="17"/>
  <c r="V29" i="17" s="1"/>
  <c r="AH29" i="17"/>
  <c r="AE29" i="17"/>
  <c r="AD29" i="17"/>
  <c r="W29" i="17"/>
  <c r="AS28" i="17"/>
  <c r="AK28" i="17"/>
  <c r="AL28" i="17" s="1"/>
  <c r="AN28" i="17" s="1"/>
  <c r="AJ28" i="17"/>
  <c r="AI28" i="17"/>
  <c r="AH28" i="17"/>
  <c r="AE28" i="17"/>
  <c r="AD28" i="17"/>
  <c r="AA28" i="17"/>
  <c r="W28" i="17"/>
  <c r="V28" i="17"/>
  <c r="AS27" i="17"/>
  <c r="AK27" i="17"/>
  <c r="AL27" i="17" s="1"/>
  <c r="AJ27" i="17"/>
  <c r="AI27" i="17"/>
  <c r="V27" i="17" s="1"/>
  <c r="AH27" i="17"/>
  <c r="AE27" i="17"/>
  <c r="AD27" i="17"/>
  <c r="AA27" i="17"/>
  <c r="W27" i="17"/>
  <c r="R27" i="17"/>
  <c r="W21" i="17" s="1"/>
  <c r="R26" i="17"/>
  <c r="R25" i="17"/>
  <c r="AA24" i="17"/>
  <c r="J24" i="17"/>
  <c r="AC23" i="17"/>
  <c r="AA23" i="17"/>
  <c r="W23" i="17"/>
  <c r="W22" i="17"/>
  <c r="AD20" i="17"/>
  <c r="AA20" i="17"/>
  <c r="X20" i="17"/>
  <c r="W20" i="17"/>
  <c r="C20" i="17"/>
  <c r="E4" i="17" s="1"/>
  <c r="AD19" i="17"/>
  <c r="R19" i="17"/>
  <c r="AM28" i="17" s="1"/>
  <c r="AF18" i="17"/>
  <c r="AD18" i="17"/>
  <c r="AF17" i="17"/>
  <c r="AD17" i="17"/>
  <c r="AA17" i="17"/>
  <c r="W17" i="17"/>
  <c r="L15" i="17"/>
  <c r="J15" i="17"/>
  <c r="I15" i="17"/>
  <c r="F15" i="17"/>
  <c r="C15" i="17"/>
  <c r="C4" i="17"/>
  <c r="C3" i="17" a="1"/>
  <c r="C3" i="17" s="1"/>
  <c r="J48" i="12"/>
  <c r="C44" i="12"/>
  <c r="J354" i="12"/>
  <c r="C350" i="12"/>
  <c r="J320" i="12"/>
  <c r="C316" i="12"/>
  <c r="J286" i="12"/>
  <c r="C282" i="12"/>
  <c r="J252" i="12"/>
  <c r="C248" i="12"/>
  <c r="J218" i="12"/>
  <c r="C214" i="12"/>
  <c r="J184" i="12"/>
  <c r="C180" i="12"/>
  <c r="J150" i="12"/>
  <c r="C146" i="12"/>
  <c r="J116" i="12"/>
  <c r="C112" i="12"/>
  <c r="J82" i="12"/>
  <c r="C78" i="12"/>
  <c r="J14" i="12"/>
  <c r="C10" i="12"/>
  <c r="AS33" i="5"/>
  <c r="AR33" i="5"/>
  <c r="AQ33" i="5"/>
  <c r="AP33" i="5"/>
  <c r="AO33" i="5"/>
  <c r="AN33" i="5"/>
  <c r="X33" i="5" s="1"/>
  <c r="AM33" i="5"/>
  <c r="AL33" i="5"/>
  <c r="AK33" i="5"/>
  <c r="AJ33" i="5"/>
  <c r="AI33" i="5"/>
  <c r="V33" i="5" s="1"/>
  <c r="AH33" i="5"/>
  <c r="AS32" i="5"/>
  <c r="AR32" i="5"/>
  <c r="AQ32" i="5"/>
  <c r="AP32" i="5"/>
  <c r="AO32" i="5"/>
  <c r="AN32" i="5"/>
  <c r="AM32" i="5"/>
  <c r="AL32" i="5"/>
  <c r="AK32" i="5"/>
  <c r="AJ32" i="5"/>
  <c r="AI32" i="5"/>
  <c r="AH32" i="5"/>
  <c r="AS31" i="5"/>
  <c r="AR31" i="5"/>
  <c r="AQ31" i="5"/>
  <c r="AC31" i="5" s="1"/>
  <c r="AP31" i="5"/>
  <c r="AB31" i="5" s="1"/>
  <c r="AO31" i="5"/>
  <c r="AN31" i="5"/>
  <c r="AL31" i="5"/>
  <c r="AK31" i="5"/>
  <c r="AJ31" i="5"/>
  <c r="AI31" i="5"/>
  <c r="AH31" i="5"/>
  <c r="AS30" i="5"/>
  <c r="AL30" i="5"/>
  <c r="AK30" i="5"/>
  <c r="AJ30" i="5"/>
  <c r="AI30" i="5"/>
  <c r="AH30" i="5"/>
  <c r="AK29" i="5"/>
  <c r="AL29" i="5" s="1"/>
  <c r="AJ29" i="5"/>
  <c r="AS29" i="5" s="1"/>
  <c r="AI29" i="5"/>
  <c r="AH29" i="5"/>
  <c r="AK28" i="5"/>
  <c r="AL28" i="5" s="1"/>
  <c r="AJ28" i="5"/>
  <c r="AS28" i="5" s="1"/>
  <c r="AI28" i="5"/>
  <c r="V28" i="5" s="1"/>
  <c r="AH28" i="5"/>
  <c r="AS27" i="5"/>
  <c r="AL27" i="5"/>
  <c r="AK27" i="5"/>
  <c r="AJ27" i="5"/>
  <c r="AI27" i="5"/>
  <c r="V27" i="5" s="1"/>
  <c r="AH27" i="5"/>
  <c r="V48" i="5"/>
  <c r="V47" i="5"/>
  <c r="V46" i="5"/>
  <c r="V43" i="5"/>
  <c r="V42" i="5"/>
  <c r="V41" i="5"/>
  <c r="V40" i="5"/>
  <c r="V39" i="5"/>
  <c r="V38" i="5"/>
  <c r="V37" i="5"/>
  <c r="V36" i="5"/>
  <c r="AF33" i="5"/>
  <c r="AE33" i="5"/>
  <c r="AD33" i="5"/>
  <c r="AC33" i="5"/>
  <c r="AB33" i="5"/>
  <c r="AA33" i="5"/>
  <c r="Y33" i="5"/>
  <c r="W33" i="5"/>
  <c r="AF32" i="5"/>
  <c r="AE32" i="5"/>
  <c r="AD32" i="5"/>
  <c r="AC32" i="5"/>
  <c r="AB32" i="5"/>
  <c r="AA32" i="5"/>
  <c r="Y32" i="5"/>
  <c r="X32" i="5"/>
  <c r="W32" i="5"/>
  <c r="V32" i="5"/>
  <c r="AF31" i="5"/>
  <c r="AE31" i="5"/>
  <c r="AD31" i="5"/>
  <c r="AA31" i="5"/>
  <c r="Y31" i="5"/>
  <c r="X31" i="5"/>
  <c r="W31" i="5"/>
  <c r="V31" i="5"/>
  <c r="AE30" i="5"/>
  <c r="AD30" i="5"/>
  <c r="W30" i="5"/>
  <c r="V30" i="5"/>
  <c r="AE29" i="5"/>
  <c r="AD29" i="5"/>
  <c r="W29" i="5"/>
  <c r="V29" i="5"/>
  <c r="AE28" i="5"/>
  <c r="AD28" i="5"/>
  <c r="W28" i="5"/>
  <c r="AE27" i="5"/>
  <c r="AD27" i="5"/>
  <c r="AA27" i="5"/>
  <c r="W27" i="5"/>
  <c r="AA24" i="5"/>
  <c r="AC23" i="5"/>
  <c r="AA23" i="5"/>
  <c r="W23" i="5"/>
  <c r="W22" i="5"/>
  <c r="W21" i="5"/>
  <c r="AD20" i="5"/>
  <c r="AA20" i="5"/>
  <c r="X20" i="5"/>
  <c r="W20" i="5"/>
  <c r="AD19" i="5"/>
  <c r="AF18" i="5"/>
  <c r="AF17" i="5"/>
  <c r="AD17" i="5"/>
  <c r="AA17" i="5"/>
  <c r="W17" i="5"/>
  <c r="R27" i="5"/>
  <c r="R26" i="5"/>
  <c r="R25" i="5"/>
  <c r="R19" i="5"/>
  <c r="AM31" i="5" s="1"/>
  <c r="CX2459" i="15"/>
  <c r="R4" i="15" s="1"/>
  <c r="U66" i="15"/>
  <c r="BX66" i="15" s="1"/>
  <c r="S66" i="15"/>
  <c r="R66" i="15"/>
  <c r="Q66" i="15"/>
  <c r="P66" i="15"/>
  <c r="O66" i="15"/>
  <c r="N66" i="15"/>
  <c r="M66" i="15"/>
  <c r="L66" i="15"/>
  <c r="K66" i="15"/>
  <c r="J66" i="15"/>
  <c r="I66" i="15"/>
  <c r="H66" i="15"/>
  <c r="G66" i="15"/>
  <c r="F66" i="15"/>
  <c r="E66" i="15"/>
  <c r="D66" i="15"/>
  <c r="C66" i="15"/>
  <c r="U65" i="15"/>
  <c r="BQ65" i="15" s="1"/>
  <c r="S65" i="15"/>
  <c r="R65" i="15"/>
  <c r="Q65" i="15"/>
  <c r="P65" i="15"/>
  <c r="O65" i="15"/>
  <c r="N65" i="15"/>
  <c r="M65" i="15"/>
  <c r="L65" i="15"/>
  <c r="K65" i="15"/>
  <c r="J65" i="15"/>
  <c r="I65" i="15"/>
  <c r="H65" i="15"/>
  <c r="G65" i="15"/>
  <c r="F65" i="15"/>
  <c r="E65" i="15"/>
  <c r="D65" i="15"/>
  <c r="C65" i="15"/>
  <c r="U64" i="15"/>
  <c r="BY64" i="15" s="1"/>
  <c r="S64" i="15"/>
  <c r="R64" i="15"/>
  <c r="Q64" i="15"/>
  <c r="P64" i="15"/>
  <c r="O64" i="15"/>
  <c r="N64" i="15"/>
  <c r="M64" i="15"/>
  <c r="L64" i="15"/>
  <c r="K64" i="15"/>
  <c r="J64" i="15"/>
  <c r="I64" i="15"/>
  <c r="H64" i="15"/>
  <c r="G64" i="15"/>
  <c r="F64" i="15"/>
  <c r="E64" i="15"/>
  <c r="D64" i="15"/>
  <c r="C64" i="15"/>
  <c r="U63" i="15"/>
  <c r="CH63" i="15" s="1"/>
  <c r="S63" i="15"/>
  <c r="R63" i="15"/>
  <c r="Q63" i="15"/>
  <c r="P63" i="15"/>
  <c r="O63" i="15"/>
  <c r="N63" i="15"/>
  <c r="M63" i="15"/>
  <c r="L63" i="15"/>
  <c r="K63" i="15"/>
  <c r="J63" i="15"/>
  <c r="I63" i="15"/>
  <c r="H63" i="15"/>
  <c r="G63" i="15"/>
  <c r="F63" i="15"/>
  <c r="E63" i="15"/>
  <c r="D63" i="15"/>
  <c r="C63" i="15"/>
  <c r="U62" i="15"/>
  <c r="CI62" i="15" s="1"/>
  <c r="S62" i="15"/>
  <c r="R62" i="15"/>
  <c r="Q62" i="15"/>
  <c r="P62" i="15"/>
  <c r="O62" i="15"/>
  <c r="N62" i="15"/>
  <c r="M62" i="15"/>
  <c r="L62" i="15"/>
  <c r="K62" i="15"/>
  <c r="J62" i="15"/>
  <c r="I62" i="15"/>
  <c r="H62" i="15"/>
  <c r="G62" i="15"/>
  <c r="F62" i="15"/>
  <c r="E62" i="15"/>
  <c r="D62" i="15"/>
  <c r="C62" i="15"/>
  <c r="U61" i="15"/>
  <c r="CF61" i="15" s="1"/>
  <c r="S61" i="15"/>
  <c r="R61" i="15"/>
  <c r="Q61" i="15"/>
  <c r="P61" i="15"/>
  <c r="O61" i="15"/>
  <c r="N61" i="15"/>
  <c r="M61" i="15"/>
  <c r="L61" i="15"/>
  <c r="K61" i="15"/>
  <c r="J61" i="15"/>
  <c r="I61" i="15"/>
  <c r="H61" i="15"/>
  <c r="G61" i="15"/>
  <c r="F61" i="15"/>
  <c r="E61" i="15"/>
  <c r="D61" i="15"/>
  <c r="C61" i="15"/>
  <c r="U60" i="15"/>
  <c r="CG60" i="15" s="1"/>
  <c r="S60" i="15"/>
  <c r="R60" i="15"/>
  <c r="Q60" i="15"/>
  <c r="P60" i="15"/>
  <c r="O60" i="15"/>
  <c r="N60" i="15"/>
  <c r="M60" i="15"/>
  <c r="L60" i="15"/>
  <c r="K60" i="15"/>
  <c r="J60" i="15"/>
  <c r="I60" i="15"/>
  <c r="H60" i="15"/>
  <c r="G60" i="15"/>
  <c r="F60" i="15"/>
  <c r="E60" i="15"/>
  <c r="D60" i="15"/>
  <c r="C60" i="15"/>
  <c r="U59" i="15"/>
  <c r="AK59" i="15" s="1"/>
  <c r="S59" i="15"/>
  <c r="R59" i="15"/>
  <c r="Q59" i="15"/>
  <c r="P59" i="15"/>
  <c r="O59" i="15"/>
  <c r="N59" i="15"/>
  <c r="M59" i="15"/>
  <c r="L59" i="15"/>
  <c r="K59" i="15"/>
  <c r="J59" i="15"/>
  <c r="I59" i="15"/>
  <c r="H59" i="15"/>
  <c r="G59" i="15"/>
  <c r="F59" i="15"/>
  <c r="E59" i="15"/>
  <c r="D59" i="15"/>
  <c r="C59" i="15"/>
  <c r="U58" i="15"/>
  <c r="BP58" i="15" s="1"/>
  <c r="S58" i="15"/>
  <c r="R58" i="15"/>
  <c r="Q58" i="15"/>
  <c r="P58" i="15"/>
  <c r="O58" i="15"/>
  <c r="N58" i="15"/>
  <c r="M58" i="15"/>
  <c r="L58" i="15"/>
  <c r="K58" i="15"/>
  <c r="J58" i="15"/>
  <c r="I58" i="15"/>
  <c r="H58" i="15"/>
  <c r="G58" i="15"/>
  <c r="F58" i="15"/>
  <c r="E58" i="15"/>
  <c r="D58" i="15"/>
  <c r="C58" i="15"/>
  <c r="U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7" i="15"/>
  <c r="C57" i="15"/>
  <c r="U56" i="15"/>
  <c r="V56" i="15" s="1"/>
  <c r="W56" i="15" s="1"/>
  <c r="X56" i="15" s="1"/>
  <c r="Y56" i="15" s="1"/>
  <c r="Z56" i="15" s="1"/>
  <c r="AA56" i="15" s="1"/>
  <c r="U55" i="15"/>
  <c r="U54" i="15"/>
  <c r="V54" i="15" s="1"/>
  <c r="W54" i="15" s="1"/>
  <c r="X54" i="15" s="1"/>
  <c r="Y54" i="15" s="1"/>
  <c r="Z54" i="15" s="1"/>
  <c r="AA54" i="15" s="1"/>
  <c r="BA54" i="15" s="1"/>
  <c r="BB54" i="15" s="1"/>
  <c r="I54" i="15" s="1"/>
  <c r="U53" i="15"/>
  <c r="U52" i="15"/>
  <c r="V52" i="15" s="1"/>
  <c r="W52" i="15" s="1"/>
  <c r="X52" i="15" s="1"/>
  <c r="Y52" i="15" s="1"/>
  <c r="Z52" i="15" s="1"/>
  <c r="AA52" i="15" s="1"/>
  <c r="U51" i="15"/>
  <c r="U50" i="15"/>
  <c r="U49" i="15"/>
  <c r="U48" i="15"/>
  <c r="U47" i="15"/>
  <c r="U46" i="15"/>
  <c r="V46" i="15" s="1"/>
  <c r="W46" i="15" s="1"/>
  <c r="X46" i="15" s="1"/>
  <c r="Y46" i="15" s="1"/>
  <c r="Z46" i="15" s="1"/>
  <c r="AA46" i="15" s="1"/>
  <c r="U45" i="15"/>
  <c r="U44" i="15"/>
  <c r="U43" i="15"/>
  <c r="U42" i="15"/>
  <c r="V42" i="15" s="1"/>
  <c r="W42" i="15" s="1"/>
  <c r="X42" i="15" s="1"/>
  <c r="Y42" i="15" s="1"/>
  <c r="Z42" i="15" s="1"/>
  <c r="AA42" i="15" s="1"/>
  <c r="AX42" i="15" s="1"/>
  <c r="U41" i="15"/>
  <c r="U40" i="15"/>
  <c r="U39" i="15"/>
  <c r="U38" i="15"/>
  <c r="V38" i="15" s="1"/>
  <c r="W38" i="15" s="1"/>
  <c r="X38" i="15" s="1"/>
  <c r="Y38" i="15" s="1"/>
  <c r="Z38" i="15" s="1"/>
  <c r="AA38" i="15" s="1"/>
  <c r="BV38" i="15" s="1"/>
  <c r="U37" i="15"/>
  <c r="U36" i="15"/>
  <c r="U35" i="15"/>
  <c r="V35" i="15" s="1"/>
  <c r="W35" i="15" s="1"/>
  <c r="X35" i="15" s="1"/>
  <c r="Y35" i="15" s="1"/>
  <c r="Z35" i="15" s="1"/>
  <c r="AA35" i="15" s="1"/>
  <c r="U34" i="15"/>
  <c r="V34" i="15" s="1"/>
  <c r="W34" i="15" s="1"/>
  <c r="X34" i="15" s="1"/>
  <c r="Y34" i="15" s="1"/>
  <c r="Z34" i="15" s="1"/>
  <c r="AA34" i="15" s="1"/>
  <c r="U33" i="15"/>
  <c r="U32" i="15"/>
  <c r="U31" i="15"/>
  <c r="U30" i="15"/>
  <c r="V30" i="15" s="1"/>
  <c r="W30" i="15" s="1"/>
  <c r="X30" i="15" s="1"/>
  <c r="Y30" i="15" s="1"/>
  <c r="Z30" i="15" s="1"/>
  <c r="AA30" i="15" s="1"/>
  <c r="BA30" i="15" s="1"/>
  <c r="BB30" i="15" s="1"/>
  <c r="I30" i="15" s="1"/>
  <c r="U29" i="15"/>
  <c r="U28" i="15"/>
  <c r="U27" i="15"/>
  <c r="U26" i="15"/>
  <c r="V26" i="15" s="1"/>
  <c r="W26" i="15" s="1"/>
  <c r="X26" i="15" s="1"/>
  <c r="Y26" i="15" s="1"/>
  <c r="Z26" i="15" s="1"/>
  <c r="AA26" i="15" s="1"/>
  <c r="U25" i="15"/>
  <c r="V25" i="15" s="1"/>
  <c r="W25" i="15" s="1"/>
  <c r="X25" i="15" s="1"/>
  <c r="Y25" i="15" s="1"/>
  <c r="Z25" i="15" s="1"/>
  <c r="AA25" i="15" s="1"/>
  <c r="AG25" i="15" s="1"/>
  <c r="U24" i="15"/>
  <c r="V24" i="15" s="1"/>
  <c r="W24" i="15" s="1"/>
  <c r="X24" i="15" s="1"/>
  <c r="Y24" i="15" s="1"/>
  <c r="Z24" i="15" s="1"/>
  <c r="AA24" i="15" s="1"/>
  <c r="U23" i="15"/>
  <c r="U22" i="15"/>
  <c r="V22" i="15" s="1"/>
  <c r="W22" i="15" s="1"/>
  <c r="X22" i="15" s="1"/>
  <c r="Y22" i="15" s="1"/>
  <c r="Z22" i="15" s="1"/>
  <c r="AA22" i="15" s="1"/>
  <c r="U21" i="15"/>
  <c r="U20" i="15"/>
  <c r="U19" i="15"/>
  <c r="U18" i="15"/>
  <c r="U17" i="15"/>
  <c r="V17" i="15" s="1"/>
  <c r="W17" i="15" s="1"/>
  <c r="X17" i="15" s="1"/>
  <c r="Y17" i="15" s="1"/>
  <c r="Z17" i="15" s="1"/>
  <c r="AA17" i="15" s="1"/>
  <c r="BA17" i="15" s="1"/>
  <c r="BB17" i="15" s="1"/>
  <c r="I17" i="15" s="1"/>
  <c r="U16" i="15"/>
  <c r="U15" i="15"/>
  <c r="U14" i="15"/>
  <c r="U13" i="15"/>
  <c r="U12" i="15"/>
  <c r="U11" i="15"/>
  <c r="V11" i="15" s="1"/>
  <c r="W11" i="15" s="1"/>
  <c r="X11" i="15" s="1"/>
  <c r="Y11" i="15" s="1"/>
  <c r="Z11" i="15" s="1"/>
  <c r="AA11" i="15" s="1"/>
  <c r="U10" i="15"/>
  <c r="V10" i="15" s="1"/>
  <c r="W10" i="15" s="1"/>
  <c r="X10" i="15" s="1"/>
  <c r="Y10" i="15" s="1"/>
  <c r="Z10" i="15" s="1"/>
  <c r="AA10" i="15" s="1"/>
  <c r="U9" i="15"/>
  <c r="U8" i="15"/>
  <c r="V8" i="15" s="1"/>
  <c r="W8" i="15" s="1"/>
  <c r="X8" i="15" s="1"/>
  <c r="Y8" i="15" s="1"/>
  <c r="Z8" i="15" s="1"/>
  <c r="AA8" i="15" s="1"/>
  <c r="U7" i="15"/>
  <c r="AI337" i="14"/>
  <c r="AG337" i="14"/>
  <c r="AF5" i="14" s="1"/>
  <c r="AH7" i="14"/>
  <c r="AH6" i="14"/>
  <c r="Z2" i="14"/>
  <c r="Y2" i="14"/>
  <c r="X2" i="14"/>
  <c r="W2" i="14"/>
  <c r="T2" i="14"/>
  <c r="S2" i="14"/>
  <c r="R2" i="14"/>
  <c r="Q2" i="14"/>
  <c r="P2" i="14"/>
  <c r="L2" i="14"/>
  <c r="K2" i="14"/>
  <c r="J2" i="14"/>
  <c r="I2" i="14"/>
  <c r="H2" i="14"/>
  <c r="G2" i="14"/>
  <c r="F2" i="14"/>
  <c r="E2" i="14"/>
  <c r="D2" i="14"/>
  <c r="C2" i="14"/>
  <c r="B2" i="14"/>
  <c r="AI1" i="14"/>
  <c r="AH1" i="14"/>
  <c r="Z1" i="14"/>
  <c r="Y1" i="14"/>
  <c r="X1" i="14"/>
  <c r="W1" i="14"/>
  <c r="T1" i="14"/>
  <c r="S1" i="14"/>
  <c r="R1" i="14"/>
  <c r="Q1" i="14"/>
  <c r="P1" i="14"/>
  <c r="L1" i="14"/>
  <c r="K1" i="14"/>
  <c r="J1" i="14"/>
  <c r="I1" i="14"/>
  <c r="H1" i="14"/>
  <c r="G1" i="14"/>
  <c r="F1" i="14"/>
  <c r="E1" i="14"/>
  <c r="D1" i="14"/>
  <c r="C1" i="14"/>
  <c r="B1" i="14"/>
  <c r="A1" i="14"/>
  <c r="AD342" i="18" l="1"/>
  <c r="AM243" i="18"/>
  <c r="AN243" i="18" s="1"/>
  <c r="AO243" i="18" s="1"/>
  <c r="AM27" i="18"/>
  <c r="AA211" i="18"/>
  <c r="AS63" i="18"/>
  <c r="AN28" i="18"/>
  <c r="X28" i="18" s="1"/>
  <c r="AM355" i="18"/>
  <c r="AM29" i="18"/>
  <c r="AN208" i="18"/>
  <c r="X208" i="18" s="1"/>
  <c r="AD54" i="18"/>
  <c r="AN29" i="18"/>
  <c r="AP29" i="18" s="1"/>
  <c r="AB29" i="18" s="1"/>
  <c r="AQ247" i="18"/>
  <c r="AC247" i="18" s="1"/>
  <c r="AM172" i="18"/>
  <c r="AN172" i="18" s="1"/>
  <c r="AQ355" i="18"/>
  <c r="AC355" i="18" s="1"/>
  <c r="AD270" i="18"/>
  <c r="AA99" i="18"/>
  <c r="AM280" i="18"/>
  <c r="AN280" i="18" s="1"/>
  <c r="AN137" i="18"/>
  <c r="AQ137" i="18" s="1"/>
  <c r="AC137" i="18" s="1"/>
  <c r="AN279" i="18"/>
  <c r="AO279" i="18" s="1"/>
  <c r="AA28" i="18"/>
  <c r="AA103" i="18"/>
  <c r="AS171" i="18"/>
  <c r="AM31" i="18"/>
  <c r="W201" i="18"/>
  <c r="AM247" i="18"/>
  <c r="AQ102" i="18"/>
  <c r="AC102" i="18" s="1"/>
  <c r="AD306" i="18"/>
  <c r="AN352" i="18"/>
  <c r="X352" i="18" s="1"/>
  <c r="AA351" i="18"/>
  <c r="AS279" i="18"/>
  <c r="AS286" i="18" s="1"/>
  <c r="AA139" i="18"/>
  <c r="AS250" i="18"/>
  <c r="AD18" i="18"/>
  <c r="AA31" i="18"/>
  <c r="AM317" i="18"/>
  <c r="AN317" i="18" s="1"/>
  <c r="AR317" i="18" s="1"/>
  <c r="AF317" i="18" s="1"/>
  <c r="AM351" i="18"/>
  <c r="AN351" i="18" s="1"/>
  <c r="AM135" i="18"/>
  <c r="AN135" i="18" s="1"/>
  <c r="AQ135" i="18" s="1"/>
  <c r="AC135" i="18" s="1"/>
  <c r="AS317" i="18"/>
  <c r="AM319" i="18"/>
  <c r="AN319" i="18" s="1"/>
  <c r="X319" i="18" s="1"/>
  <c r="AM30" i="18"/>
  <c r="AN30" i="18" s="1"/>
  <c r="AM139" i="18"/>
  <c r="AM316" i="18"/>
  <c r="AN316" i="18" s="1"/>
  <c r="AS66" i="18"/>
  <c r="AM67" i="18"/>
  <c r="AN67" i="18" s="1"/>
  <c r="AO67" i="18" s="1"/>
  <c r="AA67" i="18" s="1"/>
  <c r="AM136" i="18"/>
  <c r="AN136" i="18" s="1"/>
  <c r="AM138" i="18"/>
  <c r="AN138" i="18" s="1"/>
  <c r="AN27" i="18"/>
  <c r="AQ27" i="18" s="1"/>
  <c r="AD126" i="18"/>
  <c r="AM171" i="18"/>
  <c r="AN171" i="18" s="1"/>
  <c r="X171" i="18" s="1"/>
  <c r="AQ211" i="18"/>
  <c r="AC211" i="18" s="1"/>
  <c r="AS316" i="18"/>
  <c r="AM318" i="18"/>
  <c r="AN318" i="18" s="1"/>
  <c r="AM354" i="18"/>
  <c r="AN354" i="18" s="1"/>
  <c r="AR354" i="18" s="1"/>
  <c r="AF354" i="18" s="1"/>
  <c r="AN315" i="18"/>
  <c r="AM353" i="18"/>
  <c r="AN353" i="18" s="1"/>
  <c r="AS358" i="18"/>
  <c r="AA352" i="18"/>
  <c r="AP317" i="18"/>
  <c r="AB317" i="18" s="1"/>
  <c r="AS315" i="18"/>
  <c r="AM281" i="18"/>
  <c r="AN281" i="18" s="1"/>
  <c r="AM282" i="18"/>
  <c r="AN282" i="18" s="1"/>
  <c r="AR282" i="18" s="1"/>
  <c r="AF282" i="18" s="1"/>
  <c r="AA281" i="18"/>
  <c r="AM283" i="18"/>
  <c r="AN283" i="18" s="1"/>
  <c r="W273" i="18"/>
  <c r="AM246" i="18"/>
  <c r="AN246" i="18" s="1"/>
  <c r="AM244" i="18"/>
  <c r="AN244" i="18" s="1"/>
  <c r="AM245" i="18"/>
  <c r="AN245" i="18" s="1"/>
  <c r="AA244" i="18"/>
  <c r="R236" i="18"/>
  <c r="R237" i="18" s="1"/>
  <c r="AA235" i="18" s="1"/>
  <c r="AM210" i="18"/>
  <c r="AN210" i="18" s="1"/>
  <c r="AA209" i="18"/>
  <c r="AM211" i="18"/>
  <c r="AS210" i="18"/>
  <c r="AS214" i="18" s="1"/>
  <c r="AM207" i="18"/>
  <c r="AN207" i="18" s="1"/>
  <c r="AM209" i="18"/>
  <c r="AN209" i="18" s="1"/>
  <c r="AQ209" i="18" s="1"/>
  <c r="AC209" i="18" s="1"/>
  <c r="AD198" i="18"/>
  <c r="AQ175" i="18"/>
  <c r="AC175" i="18" s="1"/>
  <c r="AS172" i="18"/>
  <c r="AA173" i="18"/>
  <c r="AM174" i="18"/>
  <c r="AN174" i="18" s="1"/>
  <c r="AM173" i="18"/>
  <c r="AN173" i="18" s="1"/>
  <c r="AS135" i="18"/>
  <c r="AS142" i="18" s="1"/>
  <c r="R128" i="18"/>
  <c r="W127" i="18" s="1"/>
  <c r="AQ139" i="18"/>
  <c r="AC139" i="18" s="1"/>
  <c r="AA136" i="18"/>
  <c r="AN100" i="18"/>
  <c r="AM102" i="18"/>
  <c r="AA101" i="18"/>
  <c r="AM103" i="18"/>
  <c r="AM99" i="18"/>
  <c r="AN99" i="18" s="1"/>
  <c r="AQ103" i="18"/>
  <c r="AC103" i="18" s="1"/>
  <c r="AM101" i="18"/>
  <c r="AN101" i="18" s="1"/>
  <c r="AR101" i="18" s="1"/>
  <c r="AF101" i="18" s="1"/>
  <c r="AD90" i="18"/>
  <c r="AN63" i="18"/>
  <c r="AM64" i="18"/>
  <c r="AN64" i="18" s="1"/>
  <c r="AM65" i="18"/>
  <c r="AN65" i="18" s="1"/>
  <c r="AA64" i="18"/>
  <c r="AM66" i="18"/>
  <c r="AN66" i="18" s="1"/>
  <c r="R56" i="18"/>
  <c r="R57" i="18" s="1"/>
  <c r="AA55" i="18" s="1"/>
  <c r="AS27" i="18"/>
  <c r="AA27" i="18"/>
  <c r="AA32" i="18"/>
  <c r="R164" i="18"/>
  <c r="AA172" i="18"/>
  <c r="R344" i="18"/>
  <c r="AA353" i="18"/>
  <c r="AA357" i="18"/>
  <c r="R20" i="18"/>
  <c r="AA100" i="18"/>
  <c r="AD128" i="18"/>
  <c r="AA140" i="18"/>
  <c r="AA247" i="18"/>
  <c r="AD308" i="18"/>
  <c r="AA320" i="18"/>
  <c r="AA137" i="18"/>
  <c r="AD92" i="18"/>
  <c r="AA177" i="18"/>
  <c r="AA285" i="18"/>
  <c r="AA315" i="18"/>
  <c r="AA69" i="18"/>
  <c r="AA243" i="18"/>
  <c r="AQ31" i="18"/>
  <c r="AC31" i="18" s="1"/>
  <c r="R308" i="18"/>
  <c r="AA104" i="18"/>
  <c r="AA355" i="18"/>
  <c r="AA245" i="18"/>
  <c r="AS29" i="18"/>
  <c r="AA29" i="18"/>
  <c r="AS106" i="18"/>
  <c r="AA135" i="18"/>
  <c r="AA208" i="18"/>
  <c r="AA102" i="18"/>
  <c r="AA212" i="18"/>
  <c r="AA282" i="18"/>
  <c r="R92" i="18"/>
  <c r="AA280" i="18"/>
  <c r="R272" i="18"/>
  <c r="R200" i="18"/>
  <c r="AA207" i="18"/>
  <c r="AD20" i="18"/>
  <c r="AA65" i="18"/>
  <c r="AA175" i="18"/>
  <c r="AD56" i="18"/>
  <c r="AD344" i="18"/>
  <c r="AD164" i="18"/>
  <c r="W237" i="18"/>
  <c r="AD344" i="17"/>
  <c r="AS358" i="17"/>
  <c r="AD306" i="17"/>
  <c r="AS322" i="17"/>
  <c r="AS250" i="17"/>
  <c r="AS178" i="17"/>
  <c r="AS142" i="17"/>
  <c r="AS106" i="17"/>
  <c r="AS70" i="17"/>
  <c r="AR354" i="17"/>
  <c r="AF354" i="17" s="1"/>
  <c r="AQ354" i="17"/>
  <c r="AC354" i="17" s="1"/>
  <c r="AP354" i="17"/>
  <c r="AB354" i="17" s="1"/>
  <c r="Y354" i="17"/>
  <c r="AO354" i="17"/>
  <c r="AA354" i="17" s="1"/>
  <c r="X354" i="17"/>
  <c r="AN351" i="17"/>
  <c r="R344" i="17"/>
  <c r="AQ351" i="17"/>
  <c r="AM352" i="17"/>
  <c r="AN352" i="17" s="1"/>
  <c r="AM355" i="17"/>
  <c r="AM353" i="17"/>
  <c r="AN353" i="17" s="1"/>
  <c r="AA355" i="17"/>
  <c r="AA353" i="17"/>
  <c r="AN316" i="17"/>
  <c r="R308" i="17"/>
  <c r="AR318" i="17"/>
  <c r="AF318" i="17" s="1"/>
  <c r="AP318" i="17"/>
  <c r="AB318" i="17" s="1"/>
  <c r="AQ318" i="17"/>
  <c r="AC318" i="17" s="1"/>
  <c r="X318" i="17"/>
  <c r="AO318" i="17"/>
  <c r="AA318" i="17" s="1"/>
  <c r="Y318" i="17"/>
  <c r="AM317" i="17"/>
  <c r="AN317" i="17" s="1"/>
  <c r="AD308" i="17"/>
  <c r="AM315" i="17"/>
  <c r="AN315" i="17" s="1"/>
  <c r="AQ319" i="17"/>
  <c r="AC319" i="17" s="1"/>
  <c r="AM319" i="17"/>
  <c r="AA317" i="17"/>
  <c r="AN279" i="17"/>
  <c r="R272" i="17"/>
  <c r="AS286" i="17"/>
  <c r="AN281" i="17"/>
  <c r="AQ281" i="17" s="1"/>
  <c r="AC281" i="17" s="1"/>
  <c r="AR282" i="17"/>
  <c r="AF282" i="17" s="1"/>
  <c r="AQ282" i="17"/>
  <c r="AC282" i="17" s="1"/>
  <c r="AP282" i="17"/>
  <c r="AB282" i="17" s="1"/>
  <c r="AO282" i="17"/>
  <c r="AA282" i="17" s="1"/>
  <c r="X282" i="17"/>
  <c r="AM280" i="17"/>
  <c r="AN280" i="17" s="1"/>
  <c r="AM283" i="17"/>
  <c r="AM281" i="17"/>
  <c r="AD272" i="17"/>
  <c r="AQ283" i="17"/>
  <c r="AC283" i="17" s="1"/>
  <c r="AA281" i="17"/>
  <c r="AN243" i="17"/>
  <c r="R236" i="17"/>
  <c r="AP245" i="17"/>
  <c r="AB245" i="17" s="1"/>
  <c r="Y245" i="17"/>
  <c r="AO245" i="17"/>
  <c r="X245" i="17"/>
  <c r="AQ246" i="17"/>
  <c r="AC246" i="17" s="1"/>
  <c r="AO246" i="17"/>
  <c r="AA246" i="17" s="1"/>
  <c r="AR246" i="17"/>
  <c r="AF246" i="17" s="1"/>
  <c r="AP246" i="17"/>
  <c r="AB246" i="17" s="1"/>
  <c r="Y246" i="17"/>
  <c r="X246" i="17"/>
  <c r="AM244" i="17"/>
  <c r="AN244" i="17" s="1"/>
  <c r="AM243" i="17"/>
  <c r="W237" i="17"/>
  <c r="AQ245" i="17"/>
  <c r="AC245" i="17" s="1"/>
  <c r="AA245" i="17"/>
  <c r="AR245" i="17"/>
  <c r="AF245" i="17" s="1"/>
  <c r="AM247" i="17"/>
  <c r="AQ247" i="17"/>
  <c r="AC247" i="17" s="1"/>
  <c r="R200" i="17"/>
  <c r="AO209" i="17"/>
  <c r="Y209" i="17"/>
  <c r="X209" i="17"/>
  <c r="AP209" i="17"/>
  <c r="AB209" i="17" s="1"/>
  <c r="AS214" i="17"/>
  <c r="AR210" i="17"/>
  <c r="AF210" i="17" s="1"/>
  <c r="AQ210" i="17"/>
  <c r="AC210" i="17" s="1"/>
  <c r="AP210" i="17"/>
  <c r="AB210" i="17" s="1"/>
  <c r="AO210" i="17"/>
  <c r="AA210" i="17" s="1"/>
  <c r="X210" i="17"/>
  <c r="AM208" i="17"/>
  <c r="AN208" i="17" s="1"/>
  <c r="AM211" i="17"/>
  <c r="W201" i="17"/>
  <c r="AQ209" i="17"/>
  <c r="AC209" i="17" s="1"/>
  <c r="AM207" i="17"/>
  <c r="AN207" i="17" s="1"/>
  <c r="AQ211" i="17"/>
  <c r="AC211" i="17" s="1"/>
  <c r="AA209" i="17"/>
  <c r="AR209" i="17"/>
  <c r="AF209" i="17" s="1"/>
  <c r="AR174" i="17"/>
  <c r="AF174" i="17" s="1"/>
  <c r="AP174" i="17"/>
  <c r="AB174" i="17" s="1"/>
  <c r="X174" i="17"/>
  <c r="AO174" i="17"/>
  <c r="AA174" i="17" s="1"/>
  <c r="AQ174" i="17"/>
  <c r="AC174" i="17" s="1"/>
  <c r="AN172" i="17"/>
  <c r="R164" i="17"/>
  <c r="AM173" i="17"/>
  <c r="AN173" i="17" s="1"/>
  <c r="AD164" i="17"/>
  <c r="AM171" i="17"/>
  <c r="AN171" i="17" s="1"/>
  <c r="AQ175" i="17"/>
  <c r="AC175" i="17" s="1"/>
  <c r="AM172" i="17"/>
  <c r="AA173" i="17"/>
  <c r="AN136" i="17"/>
  <c r="AQ139" i="17"/>
  <c r="AC139" i="17" s="1"/>
  <c r="AD126" i="17"/>
  <c r="AA135" i="17"/>
  <c r="AM138" i="17"/>
  <c r="AN138" i="17" s="1"/>
  <c r="R128" i="17"/>
  <c r="AM139" i="17"/>
  <c r="AM137" i="17"/>
  <c r="AN137" i="17" s="1"/>
  <c r="AM135" i="17"/>
  <c r="AN135" i="17" s="1"/>
  <c r="AA137" i="17"/>
  <c r="R92" i="17"/>
  <c r="AN100" i="17"/>
  <c r="AR102" i="17"/>
  <c r="AF102" i="17" s="1"/>
  <c r="X102" i="17"/>
  <c r="AQ102" i="17"/>
  <c r="AC102" i="17" s="1"/>
  <c r="AP102" i="17"/>
  <c r="AB102" i="17" s="1"/>
  <c r="AO102" i="17"/>
  <c r="AA102" i="17" s="1"/>
  <c r="AM101" i="17"/>
  <c r="AN101" i="17" s="1"/>
  <c r="AD92" i="17"/>
  <c r="AM99" i="17"/>
  <c r="AN99" i="17" s="1"/>
  <c r="AQ103" i="17"/>
  <c r="AC103" i="17" s="1"/>
  <c r="AM103" i="17"/>
  <c r="AA101" i="17"/>
  <c r="R56" i="17"/>
  <c r="AO64" i="17"/>
  <c r="Y64" i="17" s="1"/>
  <c r="AR64" i="17"/>
  <c r="AF64" i="17" s="1"/>
  <c r="AQ64" i="17"/>
  <c r="AC64" i="17" s="1"/>
  <c r="X64" i="17"/>
  <c r="AP64" i="17"/>
  <c r="AB64" i="17" s="1"/>
  <c r="AN65" i="17"/>
  <c r="AR65" i="17" s="1"/>
  <c r="AF65" i="17" s="1"/>
  <c r="AR66" i="17"/>
  <c r="AF66" i="17" s="1"/>
  <c r="X66" i="17"/>
  <c r="AQ66" i="17"/>
  <c r="AC66" i="17" s="1"/>
  <c r="AP66" i="17"/>
  <c r="AB66" i="17" s="1"/>
  <c r="AO66" i="17"/>
  <c r="AA66" i="17" s="1"/>
  <c r="AM67" i="17"/>
  <c r="AM65" i="17"/>
  <c r="AM63" i="17"/>
  <c r="AN63" i="17" s="1"/>
  <c r="AA67" i="17"/>
  <c r="AA65" i="17"/>
  <c r="AD56" i="17"/>
  <c r="AQ65" i="17"/>
  <c r="AC65" i="17" s="1"/>
  <c r="R20" i="17"/>
  <c r="AQ28" i="17"/>
  <c r="AC28" i="17" s="1"/>
  <c r="AP28" i="17"/>
  <c r="AB28" i="17" s="1"/>
  <c r="AR28" i="17"/>
  <c r="AF28" i="17" s="1"/>
  <c r="AO28" i="17"/>
  <c r="Y28" i="17" s="1"/>
  <c r="X28" i="17"/>
  <c r="AS34" i="17"/>
  <c r="AR30" i="17"/>
  <c r="AF30" i="17" s="1"/>
  <c r="AP30" i="17"/>
  <c r="AB30" i="17" s="1"/>
  <c r="AO30" i="17"/>
  <c r="AA30" i="17" s="1"/>
  <c r="X30" i="17"/>
  <c r="AQ30" i="17"/>
  <c r="AC30" i="17" s="1"/>
  <c r="AM31" i="17"/>
  <c r="AM29" i="17"/>
  <c r="AN29" i="17" s="1"/>
  <c r="AQ31" i="17"/>
  <c r="AC31" i="17" s="1"/>
  <c r="AM27" i="17"/>
  <c r="AN27" i="17" s="1"/>
  <c r="AA29" i="17"/>
  <c r="AN28" i="5"/>
  <c r="R20" i="5"/>
  <c r="AN27" i="5"/>
  <c r="AS34" i="5"/>
  <c r="AA29" i="5"/>
  <c r="AM30" i="5"/>
  <c r="AN30" i="5" s="1"/>
  <c r="AM29" i="5"/>
  <c r="AN29" i="5" s="1"/>
  <c r="AD18" i="5"/>
  <c r="AA28" i="5"/>
  <c r="AM28" i="5"/>
  <c r="AM27" i="5"/>
  <c r="AQ28" i="5"/>
  <c r="AC28" i="5" s="1"/>
  <c r="AR28" i="5"/>
  <c r="AF28" i="5" s="1"/>
  <c r="BV62" i="15"/>
  <c r="BT62" i="15"/>
  <c r="AV62" i="15"/>
  <c r="BU62" i="15"/>
  <c r="AS62" i="15"/>
  <c r="BG60" i="15"/>
  <c r="AX61" i="15"/>
  <c r="CH61" i="15"/>
  <c r="BS60" i="15"/>
  <c r="CI61" i="15"/>
  <c r="AU65" i="15"/>
  <c r="CA64" i="15"/>
  <c r="AY65" i="15"/>
  <c r="CH59" i="15"/>
  <c r="AT62" i="15"/>
  <c r="AH60" i="15"/>
  <c r="BU60" i="15"/>
  <c r="AY62" i="15"/>
  <c r="BW62" i="15"/>
  <c r="AE64" i="15"/>
  <c r="AI60" i="15"/>
  <c r="BV60" i="15"/>
  <c r="V62" i="15"/>
  <c r="W62" i="15" s="1"/>
  <c r="X62" i="15" s="1"/>
  <c r="Y62" i="15" s="1"/>
  <c r="Z62" i="15" s="1"/>
  <c r="AA62" i="15" s="1"/>
  <c r="AZ62" i="15"/>
  <c r="BX62" i="15"/>
  <c r="AH64" i="15"/>
  <c r="AJ60" i="15"/>
  <c r="BW60" i="15"/>
  <c r="AB62" i="15"/>
  <c r="BB62" i="15"/>
  <c r="BY62" i="15"/>
  <c r="AQ64" i="15"/>
  <c r="AS65" i="15"/>
  <c r="AL60" i="15"/>
  <c r="BX60" i="15"/>
  <c r="AD62" i="15"/>
  <c r="BD62" i="15"/>
  <c r="BZ62" i="15"/>
  <c r="AS64" i="15"/>
  <c r="AT65" i="15"/>
  <c r="CD64" i="15"/>
  <c r="CL64" i="15"/>
  <c r="AM60" i="15"/>
  <c r="BY60" i="15"/>
  <c r="AG62" i="15"/>
  <c r="BE62" i="15"/>
  <c r="CB62" i="15"/>
  <c r="AV64" i="15"/>
  <c r="AO60" i="15"/>
  <c r="CL60" i="15"/>
  <c r="AI62" i="15"/>
  <c r="BG62" i="15"/>
  <c r="CD62" i="15"/>
  <c r="BA64" i="15"/>
  <c r="BR65" i="15"/>
  <c r="BI59" i="15"/>
  <c r="AZ60" i="15"/>
  <c r="AJ62" i="15"/>
  <c r="BH62" i="15"/>
  <c r="CF62" i="15"/>
  <c r="BF64" i="15"/>
  <c r="BS65" i="15"/>
  <c r="BT60" i="15"/>
  <c r="BJ59" i="15"/>
  <c r="BB60" i="15"/>
  <c r="AL62" i="15"/>
  <c r="BJ62" i="15"/>
  <c r="CK62" i="15"/>
  <c r="BG64" i="15"/>
  <c r="BT65" i="15"/>
  <c r="CK60" i="15"/>
  <c r="AH62" i="15"/>
  <c r="BL59" i="15"/>
  <c r="BC60" i="15"/>
  <c r="AN62" i="15"/>
  <c r="BK62" i="15"/>
  <c r="CL62" i="15"/>
  <c r="BK64" i="15"/>
  <c r="BU65" i="15"/>
  <c r="AN60" i="15"/>
  <c r="CC62" i="15"/>
  <c r="BM59" i="15"/>
  <c r="BD60" i="15"/>
  <c r="AY61" i="15"/>
  <c r="AO62" i="15"/>
  <c r="BL62" i="15"/>
  <c r="BN64" i="15"/>
  <c r="AB64" i="15"/>
  <c r="V13" i="15"/>
  <c r="W13" i="15" s="1"/>
  <c r="X13" i="15" s="1"/>
  <c r="Y13" i="15" s="1"/>
  <c r="Z13" i="15" s="1"/>
  <c r="AA13" i="15" s="1"/>
  <c r="AJ13" i="15" s="1"/>
  <c r="AM13" i="15" s="1"/>
  <c r="AD64" i="15"/>
  <c r="BF62" i="15"/>
  <c r="CE59" i="15"/>
  <c r="BE60" i="15"/>
  <c r="BB61" i="15"/>
  <c r="AP62" i="15"/>
  <c r="BN62" i="15"/>
  <c r="BP64" i="15"/>
  <c r="AX64" i="15"/>
  <c r="CG59" i="15"/>
  <c r="BF60" i="15"/>
  <c r="CG61" i="15"/>
  <c r="AR62" i="15"/>
  <c r="BR62" i="15"/>
  <c r="BZ64" i="15"/>
  <c r="BA22" i="15"/>
  <c r="BB22" i="15" s="1"/>
  <c r="I22" i="15" s="1"/>
  <c r="V50" i="15"/>
  <c r="W50" i="15" s="1"/>
  <c r="X50" i="15" s="1"/>
  <c r="Y50" i="15" s="1"/>
  <c r="Z50" i="15" s="1"/>
  <c r="AA50" i="15" s="1"/>
  <c r="CB50" i="15" s="1"/>
  <c r="AP60" i="15"/>
  <c r="BH60" i="15"/>
  <c r="BZ60" i="15"/>
  <c r="AH61" i="15"/>
  <c r="BN61" i="15"/>
  <c r="AQ62" i="15"/>
  <c r="BI62" i="15"/>
  <c r="CA62" i="15"/>
  <c r="BO63" i="15"/>
  <c r="AD65" i="15"/>
  <c r="BC65" i="15"/>
  <c r="BY65" i="15"/>
  <c r="BB66" i="15"/>
  <c r="BU46" i="15"/>
  <c r="CK61" i="15"/>
  <c r="BC63" i="15"/>
  <c r="BV65" i="15"/>
  <c r="CL61" i="15"/>
  <c r="AF61" i="15"/>
  <c r="BI60" i="15"/>
  <c r="AE65" i="15"/>
  <c r="BD66" i="15"/>
  <c r="V60" i="15"/>
  <c r="W60" i="15" s="1"/>
  <c r="X60" i="15" s="1"/>
  <c r="Y60" i="15" s="1"/>
  <c r="Z60" i="15" s="1"/>
  <c r="AA60" i="15" s="1"/>
  <c r="AR60" i="15"/>
  <c r="AL61" i="15"/>
  <c r="BP61" i="15"/>
  <c r="BS63" i="15"/>
  <c r="AI65" i="15"/>
  <c r="CG65" i="15"/>
  <c r="AB60" i="15"/>
  <c r="AS60" i="15"/>
  <c r="BK60" i="15"/>
  <c r="CC60" i="15"/>
  <c r="AN61" i="15"/>
  <c r="BQ61" i="15"/>
  <c r="BV63" i="15"/>
  <c r="AJ65" i="15"/>
  <c r="BF65" i="15"/>
  <c r="CH65" i="15"/>
  <c r="BL66" i="15"/>
  <c r="AC60" i="15"/>
  <c r="AT60" i="15"/>
  <c r="BL60" i="15"/>
  <c r="CD60" i="15"/>
  <c r="AO61" i="15"/>
  <c r="BR61" i="15"/>
  <c r="AC62" i="15"/>
  <c r="AU62" i="15"/>
  <c r="BM62" i="15"/>
  <c r="CE62" i="15"/>
  <c r="CL63" i="15"/>
  <c r="AK65" i="15"/>
  <c r="BI65" i="15"/>
  <c r="CI65" i="15"/>
  <c r="BN66" i="15"/>
  <c r="AD60" i="15"/>
  <c r="AU60" i="15"/>
  <c r="BM60" i="15"/>
  <c r="CF60" i="15"/>
  <c r="AP61" i="15"/>
  <c r="BS61" i="15"/>
  <c r="AL65" i="15"/>
  <c r="BK65" i="15"/>
  <c r="CJ65" i="15"/>
  <c r="BS66" i="15"/>
  <c r="V66" i="15"/>
  <c r="W66" i="15" s="1"/>
  <c r="X66" i="15" s="1"/>
  <c r="Y66" i="15" s="1"/>
  <c r="Z66" i="15" s="1"/>
  <c r="AA66" i="15" s="1"/>
  <c r="V29" i="15"/>
  <c r="W29" i="15" s="1"/>
  <c r="X29" i="15" s="1"/>
  <c r="Y29" i="15" s="1"/>
  <c r="Z29" i="15" s="1"/>
  <c r="AA29" i="15" s="1"/>
  <c r="BV29" i="15" s="1"/>
  <c r="AH66" i="15"/>
  <c r="V61" i="15"/>
  <c r="W61" i="15" s="1"/>
  <c r="X61" i="15" s="1"/>
  <c r="Y61" i="15" s="1"/>
  <c r="Z61" i="15" s="1"/>
  <c r="AA61" i="15" s="1"/>
  <c r="AZ65" i="15"/>
  <c r="AS66" i="15"/>
  <c r="AC65" i="15"/>
  <c r="BB65" i="15"/>
  <c r="BD65" i="15"/>
  <c r="CB60" i="15"/>
  <c r="BE65" i="15"/>
  <c r="AV59" i="15"/>
  <c r="AE60" i="15"/>
  <c r="AV60" i="15"/>
  <c r="BN60" i="15"/>
  <c r="CH60" i="15"/>
  <c r="AQ61" i="15"/>
  <c r="BT61" i="15"/>
  <c r="AE62" i="15"/>
  <c r="AW62" i="15"/>
  <c r="BO62" i="15"/>
  <c r="CH62" i="15"/>
  <c r="BW64" i="15"/>
  <c r="AM65" i="15"/>
  <c r="BO65" i="15"/>
  <c r="CK65" i="15"/>
  <c r="BT66" i="15"/>
  <c r="AB66" i="15"/>
  <c r="BG61" i="15"/>
  <c r="AK63" i="15"/>
  <c r="BD63" i="15"/>
  <c r="AB65" i="15"/>
  <c r="BW65" i="15"/>
  <c r="AZ66" i="15"/>
  <c r="AQ60" i="15"/>
  <c r="BO61" i="15"/>
  <c r="BQ63" i="15"/>
  <c r="BJ60" i="15"/>
  <c r="BI66" i="15"/>
  <c r="BA59" i="15"/>
  <c r="AF60" i="15"/>
  <c r="AW60" i="15"/>
  <c r="BP60" i="15"/>
  <c r="CI60" i="15"/>
  <c r="AU61" i="15"/>
  <c r="BU61" i="15"/>
  <c r="AF62" i="15"/>
  <c r="AX62" i="15"/>
  <c r="BP62" i="15"/>
  <c r="CJ62" i="15"/>
  <c r="V64" i="15"/>
  <c r="W64" i="15" s="1"/>
  <c r="X64" i="15" s="1"/>
  <c r="Y64" i="15" s="1"/>
  <c r="Z64" i="15" s="1"/>
  <c r="AA64" i="15" s="1"/>
  <c r="AP65" i="15"/>
  <c r="BP65" i="15"/>
  <c r="CL65" i="15"/>
  <c r="CJ66" i="15"/>
  <c r="CJ61" i="15"/>
  <c r="BK61" i="15"/>
  <c r="AM66" i="15"/>
  <c r="BL61" i="15"/>
  <c r="BA65" i="15"/>
  <c r="BM61" i="15"/>
  <c r="BI63" i="15"/>
  <c r="BX65" i="15"/>
  <c r="CA60" i="15"/>
  <c r="AI61" i="15"/>
  <c r="CE65" i="15"/>
  <c r="BD59" i="15"/>
  <c r="AG60" i="15"/>
  <c r="AX60" i="15"/>
  <c r="BR60" i="15"/>
  <c r="CJ60" i="15"/>
  <c r="AV61" i="15"/>
  <c r="AR65" i="15"/>
  <c r="AH56" i="15"/>
  <c r="K56" i="15"/>
  <c r="BD56" i="15"/>
  <c r="BA56" i="15"/>
  <c r="BB56" i="15" s="1"/>
  <c r="I56" i="15" s="1"/>
  <c r="CE56" i="15"/>
  <c r="BR56" i="15"/>
  <c r="AD56" i="15"/>
  <c r="AB56" i="15" s="1"/>
  <c r="V20" i="15"/>
  <c r="W20" i="15" s="1"/>
  <c r="X20" i="15" s="1"/>
  <c r="Y20" i="15" s="1"/>
  <c r="Z20" i="15" s="1"/>
  <c r="AA20" i="15" s="1"/>
  <c r="CB20" i="15" s="1"/>
  <c r="AS42" i="15"/>
  <c r="AR42" i="15"/>
  <c r="AO42" i="15"/>
  <c r="AN42" i="15"/>
  <c r="AW42" i="15"/>
  <c r="AU42" i="15"/>
  <c r="AT42" i="15"/>
  <c r="AY42" i="15"/>
  <c r="AV42" i="15"/>
  <c r="BV34" i="15"/>
  <c r="AX34" i="15"/>
  <c r="AP34" i="15" s="1"/>
  <c r="BR34" i="15"/>
  <c r="BY34" i="15"/>
  <c r="BS34" i="15"/>
  <c r="BO34" i="15"/>
  <c r="BN34" i="15" s="1"/>
  <c r="BX34" i="15"/>
  <c r="AD34" i="15"/>
  <c r="AE34" i="15" s="1"/>
  <c r="BJ34" i="15"/>
  <c r="BD34" i="15"/>
  <c r="CJ34" i="15"/>
  <c r="AL34" i="15"/>
  <c r="AK34" i="15" s="1"/>
  <c r="CB34" i="15"/>
  <c r="CA34" i="15"/>
  <c r="BR8" i="15"/>
  <c r="AJ8" i="15"/>
  <c r="CJ8" i="15"/>
  <c r="CK8" i="15" s="1"/>
  <c r="BS8" i="15"/>
  <c r="BA8" i="15"/>
  <c r="BB8" i="15" s="1"/>
  <c r="I8" i="15" s="1"/>
  <c r="CD8" i="15"/>
  <c r="BJ8" i="15"/>
  <c r="BX8" i="15"/>
  <c r="BD8" i="15"/>
  <c r="BE8" i="15" s="1"/>
  <c r="AH8" i="15"/>
  <c r="AG8" i="15"/>
  <c r="AD8" i="15"/>
  <c r="CB8" i="15"/>
  <c r="CA8" i="15"/>
  <c r="AX8" i="15"/>
  <c r="AY8" i="15" s="1"/>
  <c r="BY8" i="15"/>
  <c r="BU8" i="15"/>
  <c r="BV8" i="15"/>
  <c r="AJ26" i="15"/>
  <c r="BS26" i="15"/>
  <c r="AG26" i="15"/>
  <c r="CJ26" i="15"/>
  <c r="BR26" i="15"/>
  <c r="AX26" i="15"/>
  <c r="BY26" i="15"/>
  <c r="BU26" i="15"/>
  <c r="BJ26" i="15"/>
  <c r="CE26" i="15"/>
  <c r="CD26" i="15"/>
  <c r="AL26" i="15"/>
  <c r="AK26" i="15" s="1"/>
  <c r="BV26" i="15"/>
  <c r="AH26" i="15"/>
  <c r="BX26" i="15"/>
  <c r="BO26" i="15"/>
  <c r="BD26" i="15"/>
  <c r="CA26" i="15"/>
  <c r="AD26" i="15"/>
  <c r="V12" i="15"/>
  <c r="W12" i="15" s="1"/>
  <c r="X12" i="15" s="1"/>
  <c r="Y12" i="15" s="1"/>
  <c r="Z12" i="15" s="1"/>
  <c r="AA12" i="15" s="1"/>
  <c r="CD12" i="15" s="1"/>
  <c r="BV35" i="15"/>
  <c r="BA35" i="15"/>
  <c r="BB35" i="15" s="1"/>
  <c r="I35" i="15" s="1"/>
  <c r="BR35" i="15"/>
  <c r="BO35" i="15"/>
  <c r="BN35" i="15" s="1"/>
  <c r="AL35" i="15"/>
  <c r="AK35" i="15" s="1"/>
  <c r="AJ35" i="15"/>
  <c r="CJ35" i="15"/>
  <c r="AX35" i="15"/>
  <c r="AG35" i="15"/>
  <c r="CB35" i="15"/>
  <c r="CA35" i="15"/>
  <c r="BX35" i="15"/>
  <c r="BU35" i="15"/>
  <c r="BS35" i="15"/>
  <c r="BD35" i="15"/>
  <c r="AH35" i="15"/>
  <c r="BJ38" i="15"/>
  <c r="BL38" i="15" s="1"/>
  <c r="BK38" i="15" s="1"/>
  <c r="AD38" i="15"/>
  <c r="BD38" i="15"/>
  <c r="BE38" i="15" s="1"/>
  <c r="AX38" i="15"/>
  <c r="AR38" i="15" s="1"/>
  <c r="BY38" i="15"/>
  <c r="AL38" i="15"/>
  <c r="AK38" i="15" s="1"/>
  <c r="BX38" i="15"/>
  <c r="AJ38" i="15"/>
  <c r="BU38" i="15"/>
  <c r="BW38" i="15" s="1"/>
  <c r="N38" i="15" s="1"/>
  <c r="BA38" i="15"/>
  <c r="BB38" i="15" s="1"/>
  <c r="I38" i="15" s="1"/>
  <c r="CB38" i="15"/>
  <c r="CA38" i="15"/>
  <c r="BO10" i="15"/>
  <c r="AX10" i="15"/>
  <c r="AG10" i="15"/>
  <c r="CD10" i="15"/>
  <c r="CE10" i="15"/>
  <c r="BX10" i="15"/>
  <c r="BD10" i="15"/>
  <c r="BR10" i="15"/>
  <c r="BV10" i="15"/>
  <c r="BU10" i="15"/>
  <c r="BS10" i="15"/>
  <c r="BJ10" i="15"/>
  <c r="AL10" i="15"/>
  <c r="AK10" i="15" s="1"/>
  <c r="CJ10" i="15"/>
  <c r="CG10" i="15" s="1"/>
  <c r="AJ10" i="15"/>
  <c r="AH10" i="15"/>
  <c r="AD10" i="15"/>
  <c r="CA10" i="15"/>
  <c r="CB10" i="15"/>
  <c r="BY10" i="15"/>
  <c r="CB11" i="15"/>
  <c r="BU11" i="15"/>
  <c r="BY11" i="15"/>
  <c r="BX11" i="15"/>
  <c r="BV11" i="15"/>
  <c r="BA11" i="15"/>
  <c r="BB11" i="15" s="1"/>
  <c r="I11" i="15" s="1"/>
  <c r="CB26" i="15"/>
  <c r="V44" i="15"/>
  <c r="W44" i="15" s="1"/>
  <c r="X44" i="15" s="1"/>
  <c r="Y44" i="15" s="1"/>
  <c r="Z44" i="15" s="1"/>
  <c r="AA44" i="15" s="1"/>
  <c r="CD44" i="15" s="1"/>
  <c r="BS46" i="15"/>
  <c r="BR46" i="15"/>
  <c r="CA46" i="15"/>
  <c r="BX46" i="15"/>
  <c r="AL46" i="15"/>
  <c r="AK46" i="15" s="1"/>
  <c r="AD46" i="15"/>
  <c r="BD46" i="15"/>
  <c r="BE46" i="15" s="1"/>
  <c r="CJ46" i="15"/>
  <c r="CH46" i="15" s="1"/>
  <c r="BA46" i="15"/>
  <c r="BB46" i="15" s="1"/>
  <c r="I46" i="15" s="1"/>
  <c r="CE46" i="15"/>
  <c r="CD46" i="15"/>
  <c r="V15" i="15"/>
  <c r="W15" i="15" s="1"/>
  <c r="X15" i="15" s="1"/>
  <c r="Y15" i="15" s="1"/>
  <c r="Z15" i="15" s="1"/>
  <c r="AA15" i="15" s="1"/>
  <c r="BU15" i="15" s="1"/>
  <c r="BJ46" i="15"/>
  <c r="BG46" i="15" s="1"/>
  <c r="AX17" i="15"/>
  <c r="CJ24" i="15"/>
  <c r="BS24" i="15"/>
  <c r="BV24" i="15"/>
  <c r="BA24" i="15"/>
  <c r="BB24" i="15" s="1"/>
  <c r="I24" i="15" s="1"/>
  <c r="AG24" i="15"/>
  <c r="CD24" i="15"/>
  <c r="CA24" i="15"/>
  <c r="CB24" i="15"/>
  <c r="AJ24" i="15"/>
  <c r="AH24" i="15"/>
  <c r="BD24" i="15"/>
  <c r="BE24" i="15" s="1"/>
  <c r="AX24" i="15"/>
  <c r="AY24" i="15" s="1"/>
  <c r="BY24" i="15"/>
  <c r="BX24" i="15"/>
  <c r="AD24" i="15"/>
  <c r="BU24" i="15"/>
  <c r="BR24" i="15"/>
  <c r="BJ24" i="15"/>
  <c r="CB46" i="15"/>
  <c r="BQ58" i="15"/>
  <c r="CE42" i="15"/>
  <c r="CD42" i="15"/>
  <c r="BJ42" i="15"/>
  <c r="BH42" i="15" s="1"/>
  <c r="AJ42" i="15"/>
  <c r="BD42" i="15"/>
  <c r="CA42" i="15"/>
  <c r="BX42" i="15"/>
  <c r="BV42" i="15"/>
  <c r="BU42" i="15"/>
  <c r="BS42" i="15"/>
  <c r="BA42" i="15"/>
  <c r="BB42" i="15" s="1"/>
  <c r="I42" i="15" s="1"/>
  <c r="AG42" i="15"/>
  <c r="CB42" i="15"/>
  <c r="AD42" i="15"/>
  <c r="AH42" i="15"/>
  <c r="CJ42" i="15"/>
  <c r="CK42" i="15" s="1"/>
  <c r="BR42" i="15"/>
  <c r="BO42" i="15"/>
  <c r="V14" i="15"/>
  <c r="W14" i="15" s="1"/>
  <c r="X14" i="15" s="1"/>
  <c r="Y14" i="15" s="1"/>
  <c r="Z14" i="15" s="1"/>
  <c r="AA14" i="15" s="1"/>
  <c r="BA14" i="15" s="1"/>
  <c r="BB14" i="15" s="1"/>
  <c r="I14" i="15" s="1"/>
  <c r="CE25" i="15"/>
  <c r="CJ25" i="15"/>
  <c r="BJ25" i="15"/>
  <c r="BH25" i="15" s="1"/>
  <c r="CD25" i="15"/>
  <c r="AL25" i="15"/>
  <c r="AK25" i="15" s="1"/>
  <c r="CB25" i="15"/>
  <c r="AH25" i="15"/>
  <c r="AI25" i="15" s="1"/>
  <c r="F25" i="15" s="1"/>
  <c r="BV25" i="15"/>
  <c r="AD25" i="15"/>
  <c r="AB25" i="15" s="1"/>
  <c r="BD25" i="15"/>
  <c r="BU25" i="15"/>
  <c r="BS25" i="15"/>
  <c r="BO25" i="15"/>
  <c r="AX25" i="15"/>
  <c r="AR25" i="15" s="1"/>
  <c r="BL58" i="15"/>
  <c r="BY46" i="15"/>
  <c r="BU54" i="15"/>
  <c r="BR54" i="15"/>
  <c r="AH54" i="15"/>
  <c r="BJ54" i="15"/>
  <c r="BD54" i="15"/>
  <c r="AX54" i="15"/>
  <c r="AS54" i="15" s="1"/>
  <c r="CD54" i="15"/>
  <c r="CJ54" i="15"/>
  <c r="CI54" i="15" s="1"/>
  <c r="BS54" i="15"/>
  <c r="BX54" i="15"/>
  <c r="CE58" i="15"/>
  <c r="BO58" i="15"/>
  <c r="AY58" i="15"/>
  <c r="AI58" i="15"/>
  <c r="CD58" i="15"/>
  <c r="BN58" i="15"/>
  <c r="AX58" i="15"/>
  <c r="AH58" i="15"/>
  <c r="CC58" i="15"/>
  <c r="BM58" i="15"/>
  <c r="AW58" i="15"/>
  <c r="AG58" i="15"/>
  <c r="CG58" i="15"/>
  <c r="BK58" i="15"/>
  <c r="AR58" i="15"/>
  <c r="CB58" i="15"/>
  <c r="BI58" i="15"/>
  <c r="AP58" i="15"/>
  <c r="CA58" i="15"/>
  <c r="BH58" i="15"/>
  <c r="AO58" i="15"/>
  <c r="V58" i="15"/>
  <c r="W58" i="15" s="1"/>
  <c r="X58" i="15" s="1"/>
  <c r="Y58" i="15" s="1"/>
  <c r="Z58" i="15" s="1"/>
  <c r="AA58" i="15" s="1"/>
  <c r="BZ58" i="15"/>
  <c r="BD58" i="15"/>
  <c r="AE58" i="15"/>
  <c r="BX58" i="15"/>
  <c r="BB58" i="15"/>
  <c r="AC58" i="15"/>
  <c r="BW58" i="15"/>
  <c r="BA58" i="15"/>
  <c r="AB58" i="15"/>
  <c r="CI58" i="15"/>
  <c r="BC58" i="15"/>
  <c r="CF58" i="15"/>
  <c r="AV58" i="15"/>
  <c r="BT58" i="15"/>
  <c r="AQ58" i="15"/>
  <c r="CH58" i="15"/>
  <c r="AS58" i="15"/>
  <c r="BV58" i="15"/>
  <c r="AM58" i="15"/>
  <c r="BU58" i="15"/>
  <c r="AL58" i="15"/>
  <c r="BG58" i="15"/>
  <c r="BE58" i="15"/>
  <c r="AZ58" i="15"/>
  <c r="BF58" i="15"/>
  <c r="AT58" i="15"/>
  <c r="CL58" i="15"/>
  <c r="AF58" i="15"/>
  <c r="AU58" i="15"/>
  <c r="AK58" i="15"/>
  <c r="AJ58" i="15"/>
  <c r="AD58" i="15"/>
  <c r="BJ58" i="15"/>
  <c r="AN58" i="15"/>
  <c r="CK58" i="15"/>
  <c r="CJ58" i="15"/>
  <c r="BY58" i="15"/>
  <c r="BS58" i="15"/>
  <c r="BR58" i="15"/>
  <c r="CB17" i="15"/>
  <c r="CD17" i="15"/>
  <c r="BJ17" i="15"/>
  <c r="CJ17" i="15"/>
  <c r="BD17" i="15"/>
  <c r="AD17" i="15"/>
  <c r="CA17" i="15"/>
  <c r="BY17" i="15"/>
  <c r="BX17" i="15"/>
  <c r="AL17" i="15"/>
  <c r="AK17" i="15" s="1"/>
  <c r="BV17" i="15"/>
  <c r="BU17" i="15"/>
  <c r="AH17" i="15"/>
  <c r="BS17" i="15"/>
  <c r="AG17" i="15"/>
  <c r="BR17" i="15"/>
  <c r="V36" i="15"/>
  <c r="W36" i="15" s="1"/>
  <c r="X36" i="15" s="1"/>
  <c r="Y36" i="15" s="1"/>
  <c r="Z36" i="15" s="1"/>
  <c r="AA36" i="15" s="1"/>
  <c r="AH36" i="15" s="1"/>
  <c r="BJ11" i="15"/>
  <c r="BG11" i="15" s="1"/>
  <c r="AD11" i="15"/>
  <c r="AB11" i="15" s="1"/>
  <c r="CJ11" i="15"/>
  <c r="BR11" i="15"/>
  <c r="AH11" i="15"/>
  <c r="AX11" i="15"/>
  <c r="AU11" i="15" s="1"/>
  <c r="AG11" i="15"/>
  <c r="CA11" i="15"/>
  <c r="BD11" i="15"/>
  <c r="BE11" i="15" s="1"/>
  <c r="BS11" i="15"/>
  <c r="BO11" i="15"/>
  <c r="BN11" i="15" s="1"/>
  <c r="AL11" i="15"/>
  <c r="AK11" i="15" s="1"/>
  <c r="AJ11" i="15"/>
  <c r="CD11" i="15"/>
  <c r="CE11" i="15"/>
  <c r="K22" i="15"/>
  <c r="BR22" i="15"/>
  <c r="AL22" i="15"/>
  <c r="AK22" i="15" s="1"/>
  <c r="CE22" i="15"/>
  <c r="BY22" i="15"/>
  <c r="BX22" i="15"/>
  <c r="BO22" i="15"/>
  <c r="BY25" i="15"/>
  <c r="BO38" i="15"/>
  <c r="BP38" i="15" s="1"/>
  <c r="V41" i="15"/>
  <c r="W41" i="15" s="1"/>
  <c r="X41" i="15" s="1"/>
  <c r="Y41" i="15" s="1"/>
  <c r="Z41" i="15" s="1"/>
  <c r="AA41" i="15" s="1"/>
  <c r="BV41" i="15" s="1"/>
  <c r="BV46" i="15"/>
  <c r="BS22" i="15"/>
  <c r="V9" i="15"/>
  <c r="W9" i="15" s="1"/>
  <c r="X9" i="15" s="1"/>
  <c r="Y9" i="15" s="1"/>
  <c r="Z9" i="15" s="1"/>
  <c r="AA9" i="15" s="1"/>
  <c r="BV9" i="15" s="1"/>
  <c r="V21" i="15"/>
  <c r="W21" i="15" s="1"/>
  <c r="X21" i="15" s="1"/>
  <c r="Y21" i="15" s="1"/>
  <c r="Z21" i="15" s="1"/>
  <c r="AA21" i="15" s="1"/>
  <c r="CB21" i="15" s="1"/>
  <c r="CA52" i="15"/>
  <c r="BV52" i="15"/>
  <c r="CB52" i="15"/>
  <c r="BU52" i="15"/>
  <c r="BA52" i="15"/>
  <c r="BB52" i="15" s="1"/>
  <c r="I52" i="15" s="1"/>
  <c r="AH52" i="15"/>
  <c r="AJ52" i="15"/>
  <c r="CD52" i="15"/>
  <c r="BR52" i="15"/>
  <c r="BS52" i="15"/>
  <c r="BO52" i="15"/>
  <c r="AG52" i="15"/>
  <c r="BJ52" i="15"/>
  <c r="BG52" i="15" s="1"/>
  <c r="CJ52" i="15"/>
  <c r="AD52" i="15"/>
  <c r="CE52" i="15"/>
  <c r="BD52" i="15"/>
  <c r="BC52" i="15" s="1"/>
  <c r="V18" i="15"/>
  <c r="W18" i="15" s="1"/>
  <c r="X18" i="15" s="1"/>
  <c r="Y18" i="15" s="1"/>
  <c r="Z18" i="15" s="1"/>
  <c r="AA18" i="15" s="1"/>
  <c r="CB18" i="15" s="1"/>
  <c r="V47" i="15"/>
  <c r="W47" i="15" s="1"/>
  <c r="X47" i="15" s="1"/>
  <c r="Y47" i="15" s="1"/>
  <c r="Z47" i="15" s="1"/>
  <c r="AA47" i="15" s="1"/>
  <c r="CE47" i="15" s="1"/>
  <c r="AL52" i="15"/>
  <c r="AK52" i="15" s="1"/>
  <c r="CL57" i="15"/>
  <c r="BV57" i="15"/>
  <c r="BF57" i="15"/>
  <c r="AP57" i="15"/>
  <c r="CK57" i="15"/>
  <c r="BU57" i="15"/>
  <c r="BE57" i="15"/>
  <c r="AO57" i="15"/>
  <c r="CJ57" i="15"/>
  <c r="BT57" i="15"/>
  <c r="BD57" i="15"/>
  <c r="AN57" i="15"/>
  <c r="BY57" i="15"/>
  <c r="BC57" i="15"/>
  <c r="AJ57" i="15"/>
  <c r="BW57" i="15"/>
  <c r="BA57" i="15"/>
  <c r="AH57" i="15"/>
  <c r="BS57" i="15"/>
  <c r="AZ57" i="15"/>
  <c r="AG57" i="15"/>
  <c r="CB57" i="15"/>
  <c r="BB57" i="15"/>
  <c r="AD57" i="15"/>
  <c r="BZ57" i="15"/>
  <c r="AX57" i="15"/>
  <c r="AB57" i="15"/>
  <c r="BX57" i="15"/>
  <c r="AW57" i="15"/>
  <c r="BM57" i="15"/>
  <c r="AK57" i="15"/>
  <c r="BK57" i="15"/>
  <c r="AF57" i="15"/>
  <c r="CF57" i="15"/>
  <c r="BG57" i="15"/>
  <c r="V57" i="15"/>
  <c r="W57" i="15" s="1"/>
  <c r="X57" i="15" s="1"/>
  <c r="Y57" i="15" s="1"/>
  <c r="Z57" i="15" s="1"/>
  <c r="AA57" i="15" s="1"/>
  <c r="CD57" i="15"/>
  <c r="AS57" i="15"/>
  <c r="CA57" i="15"/>
  <c r="AQ57" i="15"/>
  <c r="BR57" i="15"/>
  <c r="AM57" i="15"/>
  <c r="CH57" i="15"/>
  <c r="AR57" i="15"/>
  <c r="CE57" i="15"/>
  <c r="AI57" i="15"/>
  <c r="CC57" i="15"/>
  <c r="AE57" i="15"/>
  <c r="BO57" i="15"/>
  <c r="BL57" i="15"/>
  <c r="AY57" i="15"/>
  <c r="BH57" i="15"/>
  <c r="AU57" i="15"/>
  <c r="AC57" i="15"/>
  <c r="AT57" i="15"/>
  <c r="AL57" i="15"/>
  <c r="CG57" i="15"/>
  <c r="BQ57" i="15"/>
  <c r="BP57" i="15"/>
  <c r="V16" i="15"/>
  <c r="W16" i="15" s="1"/>
  <c r="X16" i="15" s="1"/>
  <c r="Y16" i="15" s="1"/>
  <c r="Z16" i="15" s="1"/>
  <c r="AA16" i="15" s="1"/>
  <c r="BS16" i="15" s="1"/>
  <c r="V27" i="15"/>
  <c r="W27" i="15" s="1"/>
  <c r="X27" i="15" s="1"/>
  <c r="Y27" i="15" s="1"/>
  <c r="Z27" i="15" s="1"/>
  <c r="AA27" i="15" s="1"/>
  <c r="BR27" i="15" s="1"/>
  <c r="BX30" i="15"/>
  <c r="BV30" i="15"/>
  <c r="BR30" i="15"/>
  <c r="BS30" i="15"/>
  <c r="BO30" i="15"/>
  <c r="BY30" i="15"/>
  <c r="AL30" i="15"/>
  <c r="AK30" i="15" s="1"/>
  <c r="BJ30" i="15"/>
  <c r="AD30" i="15"/>
  <c r="AV57" i="15"/>
  <c r="CD30" i="15"/>
  <c r="AX52" i="15"/>
  <c r="AQ52" i="15" s="1"/>
  <c r="BI57" i="15"/>
  <c r="AH30" i="15"/>
  <c r="CE30" i="15"/>
  <c r="V37" i="15"/>
  <c r="W37" i="15" s="1"/>
  <c r="X37" i="15" s="1"/>
  <c r="Y37" i="15" s="1"/>
  <c r="Z37" i="15" s="1"/>
  <c r="AA37" i="15" s="1"/>
  <c r="CE37" i="15" s="1"/>
  <c r="BJ57" i="15"/>
  <c r="V32" i="15"/>
  <c r="W32" i="15" s="1"/>
  <c r="X32" i="15" s="1"/>
  <c r="Y32" i="15" s="1"/>
  <c r="Z32" i="15" s="1"/>
  <c r="AA32" i="15" s="1"/>
  <c r="BR32" i="15" s="1"/>
  <c r="BN57" i="15"/>
  <c r="AJ30" i="15"/>
  <c r="CI57" i="15"/>
  <c r="V40" i="15"/>
  <c r="W40" i="15" s="1"/>
  <c r="X40" i="15" s="1"/>
  <c r="Y40" i="15" s="1"/>
  <c r="Z40" i="15" s="1"/>
  <c r="AA40" i="15" s="1"/>
  <c r="AG22" i="15"/>
  <c r="BV22" i="15"/>
  <c r="BU22" i="15"/>
  <c r="CJ22" i="15"/>
  <c r="CH22" i="15" s="1"/>
  <c r="AX22" i="15"/>
  <c r="AO22" i="15" s="1"/>
  <c r="AD22" i="15"/>
  <c r="BJ22" i="15"/>
  <c r="CD22" i="15"/>
  <c r="CA22" i="15"/>
  <c r="BD22" i="15"/>
  <c r="BC22" i="15" s="1"/>
  <c r="AH22" i="15"/>
  <c r="CB22" i="15"/>
  <c r="AJ22" i="15"/>
  <c r="CB63" i="15"/>
  <c r="BL63" i="15"/>
  <c r="AV63" i="15"/>
  <c r="AF63" i="15"/>
  <c r="CA63" i="15"/>
  <c r="BK63" i="15"/>
  <c r="AU63" i="15"/>
  <c r="AE63" i="15"/>
  <c r="BZ63" i="15"/>
  <c r="BJ63" i="15"/>
  <c r="AT63" i="15"/>
  <c r="AD63" i="15"/>
  <c r="CI63" i="15"/>
  <c r="BP63" i="15"/>
  <c r="AW63" i="15"/>
  <c r="CG63" i="15"/>
  <c r="BN63" i="15"/>
  <c r="AR63" i="15"/>
  <c r="CF63" i="15"/>
  <c r="BM63" i="15"/>
  <c r="AQ63" i="15"/>
  <c r="CJ63" i="15"/>
  <c r="BH63" i="15"/>
  <c r="AL63" i="15"/>
  <c r="CE63" i="15"/>
  <c r="BF63" i="15"/>
  <c r="AJ63" i="15"/>
  <c r="CD63" i="15"/>
  <c r="BE63" i="15"/>
  <c r="AI63" i="15"/>
  <c r="CC63" i="15"/>
  <c r="BA63" i="15"/>
  <c r="V63" i="15"/>
  <c r="W63" i="15" s="1"/>
  <c r="X63" i="15" s="1"/>
  <c r="Y63" i="15" s="1"/>
  <c r="Z63" i="15" s="1"/>
  <c r="AA63" i="15" s="1"/>
  <c r="BX63" i="15"/>
  <c r="AY63" i="15"/>
  <c r="BT63" i="15"/>
  <c r="AO63" i="15"/>
  <c r="CK63" i="15"/>
  <c r="AX63" i="15"/>
  <c r="BY63" i="15"/>
  <c r="AP63" i="15"/>
  <c r="BW63" i="15"/>
  <c r="AN63" i="15"/>
  <c r="BB63" i="15"/>
  <c r="AS63" i="15"/>
  <c r="AM63" i="15"/>
  <c r="BU63" i="15"/>
  <c r="BR63" i="15"/>
  <c r="BG63" i="15"/>
  <c r="AZ63" i="15"/>
  <c r="AH63" i="15"/>
  <c r="AB63" i="15"/>
  <c r="AG63" i="15"/>
  <c r="AC63" i="15"/>
  <c r="CA30" i="15"/>
  <c r="V33" i="15"/>
  <c r="W33" i="15" s="1"/>
  <c r="X33" i="15" s="1"/>
  <c r="Y33" i="15" s="1"/>
  <c r="Z33" i="15" s="1"/>
  <c r="AA33" i="15" s="1"/>
  <c r="AX33" i="15" s="1"/>
  <c r="V51" i="15"/>
  <c r="W51" i="15" s="1"/>
  <c r="X51" i="15" s="1"/>
  <c r="Y51" i="15" s="1"/>
  <c r="Z51" i="15" s="1"/>
  <c r="AA51" i="15" s="1"/>
  <c r="BV51" i="15" s="1"/>
  <c r="BX59" i="15"/>
  <c r="BH59" i="15"/>
  <c r="AR59" i="15"/>
  <c r="AB59" i="15"/>
  <c r="BW59" i="15"/>
  <c r="BG59" i="15"/>
  <c r="AQ59" i="15"/>
  <c r="CL59" i="15"/>
  <c r="BV59" i="15"/>
  <c r="BF59" i="15"/>
  <c r="AP59" i="15"/>
  <c r="BS59" i="15"/>
  <c r="AZ59" i="15"/>
  <c r="AG59" i="15"/>
  <c r="CJ59" i="15"/>
  <c r="BQ59" i="15"/>
  <c r="AX59" i="15"/>
  <c r="AE59" i="15"/>
  <c r="CI59" i="15"/>
  <c r="BP59" i="15"/>
  <c r="AW59" i="15"/>
  <c r="AD59" i="15"/>
  <c r="CD59" i="15"/>
  <c r="BE59" i="15"/>
  <c r="AI59" i="15"/>
  <c r="CB59" i="15"/>
  <c r="BC59" i="15"/>
  <c r="AF59" i="15"/>
  <c r="CA59" i="15"/>
  <c r="BB59" i="15"/>
  <c r="AC59" i="15"/>
  <c r="BT59" i="15"/>
  <c r="AO59" i="15"/>
  <c r="BO59" i="15"/>
  <c r="AM59" i="15"/>
  <c r="BK59" i="15"/>
  <c r="AH59" i="15"/>
  <c r="CF59" i="15"/>
  <c r="AU59" i="15"/>
  <c r="CC59" i="15"/>
  <c r="AS59" i="15"/>
  <c r="BZ59" i="15"/>
  <c r="AN59" i="15"/>
  <c r="BY59" i="15"/>
  <c r="BR59" i="15"/>
  <c r="BN59" i="15"/>
  <c r="V59" i="15"/>
  <c r="W59" i="15" s="1"/>
  <c r="X59" i="15" s="1"/>
  <c r="Y59" i="15" s="1"/>
  <c r="Z59" i="15" s="1"/>
  <c r="AA59" i="15" s="1"/>
  <c r="AL59" i="15"/>
  <c r="CK59" i="15"/>
  <c r="AJ59" i="15"/>
  <c r="BU59" i="15"/>
  <c r="V7" i="15"/>
  <c r="W7" i="15" s="1"/>
  <c r="X7" i="15" s="1"/>
  <c r="Y7" i="15" s="1"/>
  <c r="Z7" i="15" s="1"/>
  <c r="AA7" i="15" s="1"/>
  <c r="BV7" i="15" s="1"/>
  <c r="CE8" i="15"/>
  <c r="BO8" i="15"/>
  <c r="AL8" i="15"/>
  <c r="AK8" i="15" s="1"/>
  <c r="V43" i="15"/>
  <c r="W43" i="15" s="1"/>
  <c r="X43" i="15" s="1"/>
  <c r="Y43" i="15" s="1"/>
  <c r="Z43" i="15" s="1"/>
  <c r="AA43" i="15" s="1"/>
  <c r="AJ43" i="15" s="1"/>
  <c r="AT59" i="15"/>
  <c r="V55" i="15"/>
  <c r="W55" i="15" s="1"/>
  <c r="X55" i="15" s="1"/>
  <c r="Y55" i="15" s="1"/>
  <c r="Z55" i="15" s="1"/>
  <c r="AA55" i="15" s="1"/>
  <c r="CE55" i="15" s="1"/>
  <c r="AY59" i="15"/>
  <c r="BW66" i="15"/>
  <c r="BG66" i="15"/>
  <c r="AQ66" i="15"/>
  <c r="CL66" i="15"/>
  <c r="BV66" i="15"/>
  <c r="BF66" i="15"/>
  <c r="AP66" i="15"/>
  <c r="CK66" i="15"/>
  <c r="BU66" i="15"/>
  <c r="BE66" i="15"/>
  <c r="AO66" i="15"/>
  <c r="BR66" i="15"/>
  <c r="AY66" i="15"/>
  <c r="AF66" i="15"/>
  <c r="CI66" i="15"/>
  <c r="BP66" i="15"/>
  <c r="AW66" i="15"/>
  <c r="AD66" i="15"/>
  <c r="CH66" i="15"/>
  <c r="BO66" i="15"/>
  <c r="AV66" i="15"/>
  <c r="AC66" i="15"/>
  <c r="BM66" i="15"/>
  <c r="AN66" i="15"/>
  <c r="CG66" i="15"/>
  <c r="BK66" i="15"/>
  <c r="AL66" i="15"/>
  <c r="CF66" i="15"/>
  <c r="BJ66" i="15"/>
  <c r="AK66" i="15"/>
  <c r="BH66" i="15"/>
  <c r="AE66" i="15"/>
  <c r="CE66" i="15"/>
  <c r="BC66" i="15"/>
  <c r="CA66" i="15"/>
  <c r="AX66" i="15"/>
  <c r="BA66" i="15"/>
  <c r="CD66" i="15"/>
  <c r="AU66" i="15"/>
  <c r="CC66" i="15"/>
  <c r="AT66" i="15"/>
  <c r="AR66" i="15"/>
  <c r="CB66" i="15"/>
  <c r="AJ66" i="15"/>
  <c r="BZ66" i="15"/>
  <c r="AI66" i="15"/>
  <c r="AG66" i="15"/>
  <c r="BY66" i="15"/>
  <c r="BQ66" i="15"/>
  <c r="AJ17" i="15"/>
  <c r="CE17" i="15"/>
  <c r="BO17" i="15"/>
  <c r="BX25" i="15"/>
  <c r="BR25" i="15"/>
  <c r="BA25" i="15"/>
  <c r="BB25" i="15" s="1"/>
  <c r="I25" i="15" s="1"/>
  <c r="AJ25" i="15"/>
  <c r="CA25" i="15"/>
  <c r="V28" i="15"/>
  <c r="W28" i="15" s="1"/>
  <c r="X28" i="15" s="1"/>
  <c r="Y28" i="15" s="1"/>
  <c r="Z28" i="15" s="1"/>
  <c r="AA28" i="15" s="1"/>
  <c r="BS28" i="15" s="1"/>
  <c r="AJ34" i="15"/>
  <c r="CE34" i="15"/>
  <c r="CD34" i="15"/>
  <c r="BU34" i="15"/>
  <c r="AH34" i="15"/>
  <c r="BA34" i="15"/>
  <c r="BB34" i="15" s="1"/>
  <c r="I34" i="15" s="1"/>
  <c r="AG34" i="15"/>
  <c r="BY35" i="15"/>
  <c r="CD35" i="15"/>
  <c r="AD35" i="15"/>
  <c r="CE35" i="15"/>
  <c r="BJ35" i="15"/>
  <c r="BI35" i="15" s="1"/>
  <c r="CD38" i="15"/>
  <c r="CB30" i="15"/>
  <c r="BU30" i="15"/>
  <c r="BD30" i="15"/>
  <c r="BC30" i="15" s="1"/>
  <c r="BF30" i="15" s="1"/>
  <c r="J30" i="15" s="1"/>
  <c r="CJ30" i="15"/>
  <c r="CK30" i="15" s="1"/>
  <c r="AG30" i="15"/>
  <c r="AX30" i="15"/>
  <c r="BS38" i="15"/>
  <c r="CE38" i="15"/>
  <c r="BR38" i="15"/>
  <c r="AH38" i="15"/>
  <c r="CJ38" i="15"/>
  <c r="CI38" i="15" s="1"/>
  <c r="AG38" i="15"/>
  <c r="BA10" i="15"/>
  <c r="BB10" i="15" s="1"/>
  <c r="I10" i="15" s="1"/>
  <c r="V19" i="15"/>
  <c r="W19" i="15" s="1"/>
  <c r="X19" i="15" s="1"/>
  <c r="Y19" i="15" s="1"/>
  <c r="Z19" i="15" s="1"/>
  <c r="AA19" i="15" s="1"/>
  <c r="BA19" i="15" s="1"/>
  <c r="BB19" i="15" s="1"/>
  <c r="I19" i="15" s="1"/>
  <c r="V23" i="15"/>
  <c r="W23" i="15" s="1"/>
  <c r="X23" i="15" s="1"/>
  <c r="Y23" i="15" s="1"/>
  <c r="Z23" i="15" s="1"/>
  <c r="AA23" i="15" s="1"/>
  <c r="BD23" i="15" s="1"/>
  <c r="BE23" i="15" s="1"/>
  <c r="CE24" i="15"/>
  <c r="BO24" i="15"/>
  <c r="AL24" i="15"/>
  <c r="AK24" i="15" s="1"/>
  <c r="V31" i="15"/>
  <c r="W31" i="15" s="1"/>
  <c r="X31" i="15" s="1"/>
  <c r="Y31" i="15" s="1"/>
  <c r="Z31" i="15" s="1"/>
  <c r="AA31" i="15" s="1"/>
  <c r="CB31" i="15" s="1"/>
  <c r="V39" i="15"/>
  <c r="W39" i="15" s="1"/>
  <c r="X39" i="15" s="1"/>
  <c r="Y39" i="15" s="1"/>
  <c r="Z39" i="15" s="1"/>
  <c r="AA39" i="15" s="1"/>
  <c r="AD39" i="15" s="1"/>
  <c r="V49" i="15"/>
  <c r="W49" i="15" s="1"/>
  <c r="X49" i="15" s="1"/>
  <c r="Y49" i="15" s="1"/>
  <c r="Z49" i="15" s="1"/>
  <c r="AA49" i="15" s="1"/>
  <c r="BX49" i="15" s="1"/>
  <c r="CK64" i="15"/>
  <c r="BU64" i="15"/>
  <c r="BE64" i="15"/>
  <c r="AO64" i="15"/>
  <c r="CJ64" i="15"/>
  <c r="BT64" i="15"/>
  <c r="BD64" i="15"/>
  <c r="AN64" i="15"/>
  <c r="CI64" i="15"/>
  <c r="BS64" i="15"/>
  <c r="BC64" i="15"/>
  <c r="AM64" i="15"/>
  <c r="BX64" i="15"/>
  <c r="BB64" i="15"/>
  <c r="AI64" i="15"/>
  <c r="BV64" i="15"/>
  <c r="AZ64" i="15"/>
  <c r="AG64" i="15"/>
  <c r="BR64" i="15"/>
  <c r="AY64" i="15"/>
  <c r="AF64" i="15"/>
  <c r="CH64" i="15"/>
  <c r="BL64" i="15"/>
  <c r="AP64" i="15"/>
  <c r="CF64" i="15"/>
  <c r="BJ64" i="15"/>
  <c r="AK64" i="15"/>
  <c r="CE64" i="15"/>
  <c r="BI64" i="15"/>
  <c r="AJ64" i="15"/>
  <c r="BQ64" i="15"/>
  <c r="AR64" i="15"/>
  <c r="BO64" i="15"/>
  <c r="AL64" i="15"/>
  <c r="BH64" i="15"/>
  <c r="AC64" i="15"/>
  <c r="CG64" i="15"/>
  <c r="AW64" i="15"/>
  <c r="CC64" i="15"/>
  <c r="AU64" i="15"/>
  <c r="CB64" i="15"/>
  <c r="AT64" i="15"/>
  <c r="BM64" i="15"/>
  <c r="AG56" i="15"/>
  <c r="CB56" i="15"/>
  <c r="CA56" i="15"/>
  <c r="CJ56" i="15"/>
  <c r="CH56" i="15" s="1"/>
  <c r="AX56" i="15"/>
  <c r="AQ56" i="15" s="1"/>
  <c r="BO56" i="15"/>
  <c r="BP56" i="15" s="1"/>
  <c r="BX56" i="15"/>
  <c r="BV56" i="15"/>
  <c r="BU56" i="15"/>
  <c r="BY56" i="15"/>
  <c r="BJ56" i="15"/>
  <c r="BI56" i="15" s="1"/>
  <c r="CD56" i="15"/>
  <c r="AL56" i="15"/>
  <c r="AK56" i="15" s="1"/>
  <c r="BS56" i="15"/>
  <c r="AJ56" i="15"/>
  <c r="BA26" i="15"/>
  <c r="BB26" i="15" s="1"/>
  <c r="I26" i="15" s="1"/>
  <c r="V53" i="15"/>
  <c r="W53" i="15" s="1"/>
  <c r="X53" i="15" s="1"/>
  <c r="Y53" i="15" s="1"/>
  <c r="Z53" i="15" s="1"/>
  <c r="AA53" i="15" s="1"/>
  <c r="CA53" i="15" s="1"/>
  <c r="AQ42" i="15"/>
  <c r="AL42" i="15"/>
  <c r="AK42" i="15" s="1"/>
  <c r="AL54" i="15"/>
  <c r="AK54" i="15" s="1"/>
  <c r="BZ61" i="15"/>
  <c r="BJ61" i="15"/>
  <c r="AT61" i="15"/>
  <c r="AD61" i="15"/>
  <c r="BY61" i="15"/>
  <c r="BI61" i="15"/>
  <c r="AS61" i="15"/>
  <c r="AC61" i="15"/>
  <c r="BX61" i="15"/>
  <c r="BH61" i="15"/>
  <c r="AR61" i="15"/>
  <c r="AB61" i="15"/>
  <c r="CB61" i="15"/>
  <c r="BF61" i="15"/>
  <c r="AM61" i="15"/>
  <c r="BW61" i="15"/>
  <c r="BD61" i="15"/>
  <c r="AK61" i="15"/>
  <c r="BV61" i="15"/>
  <c r="BC61" i="15"/>
  <c r="AJ61" i="15"/>
  <c r="CE61" i="15"/>
  <c r="BE61" i="15"/>
  <c r="AG61" i="15"/>
  <c r="CC61" i="15"/>
  <c r="BA61" i="15"/>
  <c r="AE61" i="15"/>
  <c r="CA61" i="15"/>
  <c r="AZ61" i="15"/>
  <c r="AW61" i="15"/>
  <c r="CD61" i="15"/>
  <c r="AP42" i="15"/>
  <c r="BY42" i="15"/>
  <c r="AJ46" i="15"/>
  <c r="AH46" i="15"/>
  <c r="BO46" i="15"/>
  <c r="BN46" i="15" s="1"/>
  <c r="AX46" i="15"/>
  <c r="AN46" i="15" s="1"/>
  <c r="AG46" i="15"/>
  <c r="V48" i="15"/>
  <c r="W48" i="15" s="1"/>
  <c r="X48" i="15" s="1"/>
  <c r="Y48" i="15" s="1"/>
  <c r="Z48" i="15" s="1"/>
  <c r="AA48" i="15" s="1"/>
  <c r="CD48" i="15" s="1"/>
  <c r="CA54" i="15"/>
  <c r="BY54" i="15"/>
  <c r="AG54" i="15"/>
  <c r="BO54" i="15"/>
  <c r="BP54" i="15" s="1"/>
  <c r="AD54" i="15"/>
  <c r="CE54" i="15"/>
  <c r="CB54" i="15"/>
  <c r="AJ54" i="15"/>
  <c r="BV54" i="15"/>
  <c r="V45" i="15"/>
  <c r="W45" i="15" s="1"/>
  <c r="X45" i="15" s="1"/>
  <c r="Y45" i="15" s="1"/>
  <c r="Z45" i="15" s="1"/>
  <c r="AA45" i="15" s="1"/>
  <c r="BR45" i="15" s="1"/>
  <c r="CD65" i="15"/>
  <c r="BN65" i="15"/>
  <c r="AX65" i="15"/>
  <c r="AH65" i="15"/>
  <c r="CC65" i="15"/>
  <c r="BM65" i="15"/>
  <c r="AW65" i="15"/>
  <c r="AG65" i="15"/>
  <c r="CB65" i="15"/>
  <c r="BL65" i="15"/>
  <c r="AV65" i="15"/>
  <c r="AF65" i="15"/>
  <c r="AN65" i="15"/>
  <c r="BG65" i="15"/>
  <c r="BZ65" i="15"/>
  <c r="BY52" i="15"/>
  <c r="BX52" i="15"/>
  <c r="V65" i="15"/>
  <c r="W65" i="15" s="1"/>
  <c r="X65" i="15" s="1"/>
  <c r="Y65" i="15" s="1"/>
  <c r="Z65" i="15" s="1"/>
  <c r="AA65" i="15" s="1"/>
  <c r="AO65" i="15"/>
  <c r="BH65" i="15"/>
  <c r="CA65" i="15"/>
  <c r="AQ65" i="15"/>
  <c r="BJ65" i="15"/>
  <c r="CF65" i="15"/>
  <c r="AY60" i="15"/>
  <c r="BO60" i="15"/>
  <c r="CE60" i="15"/>
  <c r="AK62" i="15"/>
  <c r="BA62" i="15"/>
  <c r="BQ62" i="15"/>
  <c r="CG62" i="15"/>
  <c r="AK60" i="15"/>
  <c r="BA60" i="15"/>
  <c r="BQ60" i="15"/>
  <c r="AM62" i="15"/>
  <c r="BC62" i="15"/>
  <c r="BS62" i="15"/>
  <c r="AI3" i="14"/>
  <c r="AH4" i="14"/>
  <c r="AH5" i="14"/>
  <c r="AH3" i="14"/>
  <c r="AQ317" i="18" l="1"/>
  <c r="AC317" i="18" s="1"/>
  <c r="AP208" i="18"/>
  <c r="AB208" i="18" s="1"/>
  <c r="AQ208" i="18"/>
  <c r="AC208" i="18" s="1"/>
  <c r="AO208" i="18"/>
  <c r="AP243" i="18"/>
  <c r="AB243" i="18" s="1"/>
  <c r="AQ243" i="18"/>
  <c r="AC243" i="18" s="1"/>
  <c r="AR243" i="18"/>
  <c r="AF243" i="18" s="1"/>
  <c r="AP318" i="18"/>
  <c r="AB318" i="18" s="1"/>
  <c r="AO318" i="18"/>
  <c r="AA318" i="18" s="1"/>
  <c r="AR318" i="18"/>
  <c r="AF318" i="18" s="1"/>
  <c r="AQ318" i="18"/>
  <c r="AC318" i="18" s="1"/>
  <c r="X318" i="18"/>
  <c r="AR352" i="18"/>
  <c r="AF352" i="18" s="1"/>
  <c r="AP28" i="18"/>
  <c r="AB28" i="18" s="1"/>
  <c r="AO28" i="18"/>
  <c r="Y28" i="18" s="1"/>
  <c r="AQ352" i="18"/>
  <c r="AC352" i="18" s="1"/>
  <c r="AQ28" i="18"/>
  <c r="AC28" i="18" s="1"/>
  <c r="X243" i="18"/>
  <c r="R129" i="18"/>
  <c r="AA127" i="18" s="1"/>
  <c r="AR28" i="18"/>
  <c r="AF28" i="18" s="1"/>
  <c r="AP137" i="18"/>
  <c r="AB137" i="18" s="1"/>
  <c r="AR208" i="18"/>
  <c r="AF208" i="18" s="1"/>
  <c r="AO27" i="18"/>
  <c r="AS70" i="18"/>
  <c r="AO352" i="18"/>
  <c r="AR137" i="18"/>
  <c r="AF137" i="18" s="1"/>
  <c r="AP352" i="18"/>
  <c r="AB352" i="18" s="1"/>
  <c r="AR30" i="18"/>
  <c r="AF30" i="18" s="1"/>
  <c r="AO30" i="18"/>
  <c r="AA30" i="18" s="1"/>
  <c r="AO317" i="18"/>
  <c r="Y317" i="18" s="1"/>
  <c r="X29" i="18"/>
  <c r="AQ29" i="18"/>
  <c r="AC29" i="18" s="1"/>
  <c r="AP279" i="18"/>
  <c r="AB279" i="18" s="1"/>
  <c r="AR29" i="18"/>
  <c r="AF29" i="18" s="1"/>
  <c r="X279" i="18"/>
  <c r="AO29" i="18"/>
  <c r="Y29" i="18" s="1"/>
  <c r="AQ101" i="18"/>
  <c r="AC101" i="18" s="1"/>
  <c r="AQ351" i="18"/>
  <c r="AC351" i="18" s="1"/>
  <c r="AR351" i="18"/>
  <c r="AF351" i="18" s="1"/>
  <c r="AP280" i="18"/>
  <c r="AB280" i="18" s="1"/>
  <c r="AQ280" i="18"/>
  <c r="AC280" i="18" s="1"/>
  <c r="X280" i="18"/>
  <c r="AR280" i="18"/>
  <c r="AF280" i="18" s="1"/>
  <c r="AO280" i="18"/>
  <c r="AO136" i="18"/>
  <c r="AP136" i="18"/>
  <c r="AB136" i="18" s="1"/>
  <c r="X136" i="18"/>
  <c r="AR136" i="18"/>
  <c r="AF136" i="18" s="1"/>
  <c r="AN214" i="18"/>
  <c r="Z208" i="18" s="1"/>
  <c r="X172" i="18"/>
  <c r="AQ172" i="18"/>
  <c r="AC172" i="18" s="1"/>
  <c r="AP172" i="18"/>
  <c r="AB172" i="18" s="1"/>
  <c r="AR172" i="18"/>
  <c r="AF172" i="18" s="1"/>
  <c r="AO172" i="18"/>
  <c r="AR27" i="18"/>
  <c r="AS178" i="18"/>
  <c r="AN34" i="18"/>
  <c r="Z31" i="18" s="1"/>
  <c r="W55" i="18"/>
  <c r="AR67" i="18"/>
  <c r="AF67" i="18" s="1"/>
  <c r="AQ319" i="18"/>
  <c r="AC319" i="18" s="1"/>
  <c r="AP30" i="18"/>
  <c r="AB30" i="18" s="1"/>
  <c r="X67" i="18"/>
  <c r="AR171" i="18"/>
  <c r="AF171" i="18" s="1"/>
  <c r="AP319" i="18"/>
  <c r="AB319" i="18" s="1"/>
  <c r="AP67" i="18"/>
  <c r="AB67" i="18" s="1"/>
  <c r="X137" i="18"/>
  <c r="AO171" i="18"/>
  <c r="AQ279" i="18"/>
  <c r="AC279" i="18" s="1"/>
  <c r="AR319" i="18"/>
  <c r="AF319" i="18" s="1"/>
  <c r="AO137" i="18"/>
  <c r="Y137" i="18" s="1"/>
  <c r="AP171" i="18"/>
  <c r="AB171" i="18" s="1"/>
  <c r="AR279" i="18"/>
  <c r="AF279" i="18" s="1"/>
  <c r="AQ67" i="18"/>
  <c r="AC67" i="18" s="1"/>
  <c r="X27" i="18"/>
  <c r="AN106" i="18"/>
  <c r="Z100" i="18" s="1"/>
  <c r="AN322" i="18"/>
  <c r="Z320" i="18" s="1"/>
  <c r="X316" i="18"/>
  <c r="AP316" i="18"/>
  <c r="AB316" i="18" s="1"/>
  <c r="AR316" i="18"/>
  <c r="AF316" i="18" s="1"/>
  <c r="AO316" i="18"/>
  <c r="AQ316" i="18"/>
  <c r="AC316" i="18" s="1"/>
  <c r="X138" i="18"/>
  <c r="AO138" i="18"/>
  <c r="AA138" i="18" s="1"/>
  <c r="AR138" i="18"/>
  <c r="AF138" i="18" s="1"/>
  <c r="AQ138" i="18"/>
  <c r="AC138" i="18" s="1"/>
  <c r="AP138" i="18"/>
  <c r="AB138" i="18" s="1"/>
  <c r="AP27" i="18"/>
  <c r="AB27" i="18" s="1"/>
  <c r="AR135" i="18"/>
  <c r="AF135" i="18" s="1"/>
  <c r="AQ171" i="18"/>
  <c r="AC171" i="18" s="1"/>
  <c r="X317" i="18"/>
  <c r="AO351" i="18"/>
  <c r="X30" i="18"/>
  <c r="AO135" i="18"/>
  <c r="AS322" i="18"/>
  <c r="AP351" i="18"/>
  <c r="AB351" i="18" s="1"/>
  <c r="X135" i="18"/>
  <c r="AO315" i="18"/>
  <c r="X351" i="18"/>
  <c r="AR315" i="18"/>
  <c r="AP315" i="18"/>
  <c r="AB315" i="18" s="1"/>
  <c r="X354" i="18"/>
  <c r="AQ315" i="18"/>
  <c r="Y208" i="18"/>
  <c r="AP135" i="18"/>
  <c r="AB135" i="18" s="1"/>
  <c r="AN142" i="18"/>
  <c r="X142" i="18" s="1"/>
  <c r="X315" i="18"/>
  <c r="AO354" i="18"/>
  <c r="AA354" i="18" s="1"/>
  <c r="AP354" i="18"/>
  <c r="AB354" i="18" s="1"/>
  <c r="AQ30" i="18"/>
  <c r="AC30" i="18" s="1"/>
  <c r="AR209" i="18"/>
  <c r="AF209" i="18" s="1"/>
  <c r="AO319" i="18"/>
  <c r="AQ354" i="18"/>
  <c r="AC354" i="18" s="1"/>
  <c r="W235" i="18"/>
  <c r="AQ136" i="18"/>
  <c r="AC136" i="18" s="1"/>
  <c r="X353" i="18"/>
  <c r="AO353" i="18"/>
  <c r="AP353" i="18"/>
  <c r="AB353" i="18" s="1"/>
  <c r="AQ353" i="18"/>
  <c r="AC353" i="18" s="1"/>
  <c r="AN358" i="18"/>
  <c r="AR353" i="18"/>
  <c r="AP281" i="18"/>
  <c r="AB281" i="18" s="1"/>
  <c r="AO281" i="18"/>
  <c r="X281" i="18"/>
  <c r="AN286" i="18"/>
  <c r="Z283" i="18" s="1"/>
  <c r="AR281" i="18"/>
  <c r="AF281" i="18" s="1"/>
  <c r="AQ281" i="18"/>
  <c r="AC281" i="18" s="1"/>
  <c r="X283" i="18"/>
  <c r="AO283" i="18"/>
  <c r="AA283" i="18" s="1"/>
  <c r="AP283" i="18"/>
  <c r="AB283" i="18" s="1"/>
  <c r="AR283" i="18"/>
  <c r="AF283" i="18" s="1"/>
  <c r="AQ283" i="18"/>
  <c r="AC283" i="18" s="1"/>
  <c r="X282" i="18"/>
  <c r="AP282" i="18"/>
  <c r="AB282" i="18" s="1"/>
  <c r="AO282" i="18"/>
  <c r="AQ282" i="18"/>
  <c r="AC282" i="18" s="1"/>
  <c r="AP244" i="18"/>
  <c r="AB244" i="18" s="1"/>
  <c r="AO244" i="18"/>
  <c r="X244" i="18"/>
  <c r="AQ244" i="18"/>
  <c r="AN250" i="18"/>
  <c r="Y250" i="18" s="1"/>
  <c r="AR244" i="18"/>
  <c r="X245" i="18"/>
  <c r="AP245" i="18"/>
  <c r="AB245" i="18" s="1"/>
  <c r="AO245" i="18"/>
  <c r="AQ245" i="18"/>
  <c r="AC245" i="18" s="1"/>
  <c r="AR245" i="18"/>
  <c r="AF245" i="18" s="1"/>
  <c r="AO246" i="18"/>
  <c r="AA246" i="18" s="1"/>
  <c r="AQ246" i="18"/>
  <c r="AC246" i="18" s="1"/>
  <c r="AR246" i="18"/>
  <c r="AF246" i="18" s="1"/>
  <c r="AP246" i="18"/>
  <c r="AB246" i="18" s="1"/>
  <c r="X246" i="18"/>
  <c r="X210" i="18"/>
  <c r="AP210" i="18"/>
  <c r="AB210" i="18" s="1"/>
  <c r="AO210" i="18"/>
  <c r="AA210" i="18" s="1"/>
  <c r="AQ210" i="18"/>
  <c r="AC210" i="18" s="1"/>
  <c r="AR210" i="18"/>
  <c r="AF210" i="18" s="1"/>
  <c r="X209" i="18"/>
  <c r="AP209" i="18"/>
  <c r="AB209" i="18" s="1"/>
  <c r="AO209" i="18"/>
  <c r="AP207" i="18"/>
  <c r="AB207" i="18" s="1"/>
  <c r="AR207" i="18"/>
  <c r="AQ207" i="18"/>
  <c r="AO207" i="18"/>
  <c r="X207" i="18"/>
  <c r="X173" i="18"/>
  <c r="AP173" i="18"/>
  <c r="AB173" i="18" s="1"/>
  <c r="AO173" i="18"/>
  <c r="Y173" i="18" s="1"/>
  <c r="AQ173" i="18"/>
  <c r="AC173" i="18" s="1"/>
  <c r="AN178" i="18"/>
  <c r="Y178" i="18" s="1"/>
  <c r="AR173" i="18"/>
  <c r="AF173" i="18" s="1"/>
  <c r="X174" i="18"/>
  <c r="AP174" i="18"/>
  <c r="AB174" i="18" s="1"/>
  <c r="AO174" i="18"/>
  <c r="AA174" i="18" s="1"/>
  <c r="AR174" i="18"/>
  <c r="AF174" i="18" s="1"/>
  <c r="AQ174" i="18"/>
  <c r="AC174" i="18" s="1"/>
  <c r="X99" i="18"/>
  <c r="AP99" i="18"/>
  <c r="AB99" i="18" s="1"/>
  <c r="AR99" i="18"/>
  <c r="AO99" i="18"/>
  <c r="AQ99" i="18"/>
  <c r="X100" i="18"/>
  <c r="AP100" i="18"/>
  <c r="AB100" i="18" s="1"/>
  <c r="AO100" i="18"/>
  <c r="AR100" i="18"/>
  <c r="AF100" i="18" s="1"/>
  <c r="AQ100" i="18"/>
  <c r="AC100" i="18" s="1"/>
  <c r="X101" i="18"/>
  <c r="AP101" i="18"/>
  <c r="AB101" i="18" s="1"/>
  <c r="AO101" i="18"/>
  <c r="Y101" i="18" s="1"/>
  <c r="X65" i="18"/>
  <c r="AP65" i="18"/>
  <c r="AB65" i="18" s="1"/>
  <c r="AO65" i="18"/>
  <c r="AR65" i="18"/>
  <c r="AF65" i="18" s="1"/>
  <c r="AQ65" i="18"/>
  <c r="AC65" i="18" s="1"/>
  <c r="AP64" i="18"/>
  <c r="AB64" i="18" s="1"/>
  <c r="X64" i="18"/>
  <c r="AO64" i="18"/>
  <c r="AR64" i="18"/>
  <c r="AF64" i="18" s="1"/>
  <c r="AQ64" i="18"/>
  <c r="X66" i="18"/>
  <c r="AO66" i="18"/>
  <c r="AQ66" i="18"/>
  <c r="AC66" i="18" s="1"/>
  <c r="AR66" i="18"/>
  <c r="AF66" i="18" s="1"/>
  <c r="AP66" i="18"/>
  <c r="AB66" i="18" s="1"/>
  <c r="X63" i="18"/>
  <c r="AO63" i="18"/>
  <c r="AR63" i="18"/>
  <c r="AQ63" i="18"/>
  <c r="AC63" i="18" s="1"/>
  <c r="AP63" i="18"/>
  <c r="AB63" i="18" s="1"/>
  <c r="AN70" i="18"/>
  <c r="W199" i="18"/>
  <c r="R201" i="18"/>
  <c r="AA199" i="18" s="1"/>
  <c r="W271" i="18"/>
  <c r="R273" i="18"/>
  <c r="AA271" i="18" s="1"/>
  <c r="AS34" i="18"/>
  <c r="R165" i="18"/>
  <c r="AA163" i="18" s="1"/>
  <c r="W163" i="18"/>
  <c r="AC27" i="18"/>
  <c r="W91" i="18"/>
  <c r="R93" i="18"/>
  <c r="AA91" i="18" s="1"/>
  <c r="W19" i="18"/>
  <c r="R21" i="18"/>
  <c r="AA19" i="18" s="1"/>
  <c r="R345" i="18"/>
  <c r="AA343" i="18" s="1"/>
  <c r="W343" i="18"/>
  <c r="W307" i="18"/>
  <c r="R309" i="18"/>
  <c r="AA307" i="18" s="1"/>
  <c r="AP352" i="17"/>
  <c r="AB352" i="17" s="1"/>
  <c r="AO352" i="17"/>
  <c r="Y352" i="17" s="1"/>
  <c r="AR352" i="17"/>
  <c r="AF352" i="17" s="1"/>
  <c r="AQ352" i="17"/>
  <c r="AC352" i="17" s="1"/>
  <c r="X352" i="17"/>
  <c r="AO353" i="17"/>
  <c r="Y353" i="17" s="1"/>
  <c r="AP353" i="17"/>
  <c r="AB353" i="17" s="1"/>
  <c r="X353" i="17"/>
  <c r="AQ353" i="17"/>
  <c r="AC353" i="17" s="1"/>
  <c r="AR353" i="17"/>
  <c r="AF353" i="17" s="1"/>
  <c r="AC351" i="17"/>
  <c r="AO351" i="17"/>
  <c r="X351" i="17"/>
  <c r="AP351" i="17"/>
  <c r="AB351" i="17" s="1"/>
  <c r="Y351" i="17"/>
  <c r="AR351" i="17"/>
  <c r="AN358" i="17"/>
  <c r="R345" i="17"/>
  <c r="AA343" i="17" s="1"/>
  <c r="W343" i="17"/>
  <c r="AP317" i="17"/>
  <c r="AB317" i="17" s="1"/>
  <c r="Y317" i="17"/>
  <c r="AO317" i="17"/>
  <c r="X317" i="17"/>
  <c r="AQ317" i="17"/>
  <c r="AC317" i="17" s="1"/>
  <c r="AR317" i="17"/>
  <c r="AF317" i="17" s="1"/>
  <c r="AN322" i="17"/>
  <c r="AR315" i="17"/>
  <c r="AP315" i="17"/>
  <c r="AB315" i="17" s="1"/>
  <c r="AO315" i="17"/>
  <c r="Y315" i="17" s="1"/>
  <c r="X315" i="17"/>
  <c r="AQ315" i="17"/>
  <c r="W307" i="17"/>
  <c r="R309" i="17"/>
  <c r="AA307" i="17" s="1"/>
  <c r="AO316" i="17"/>
  <c r="Y316" i="17" s="1"/>
  <c r="X316" i="17"/>
  <c r="AR316" i="17"/>
  <c r="AF316" i="17" s="1"/>
  <c r="AQ316" i="17"/>
  <c r="AC316" i="17" s="1"/>
  <c r="AP316" i="17"/>
  <c r="AB316" i="17" s="1"/>
  <c r="AP280" i="17"/>
  <c r="AB280" i="17" s="1"/>
  <c r="AO280" i="17"/>
  <c r="Y280" i="17" s="1"/>
  <c r="X280" i="17"/>
  <c r="AR280" i="17"/>
  <c r="AF280" i="17" s="1"/>
  <c r="AQ280" i="17"/>
  <c r="AC280" i="17" s="1"/>
  <c r="Y282" i="17"/>
  <c r="AR281" i="17"/>
  <c r="AF281" i="17" s="1"/>
  <c r="AP281" i="17"/>
  <c r="AB281" i="17" s="1"/>
  <c r="X281" i="17"/>
  <c r="AO281" i="17"/>
  <c r="Y281" i="17" s="1"/>
  <c r="R273" i="17"/>
  <c r="AA271" i="17" s="1"/>
  <c r="W271" i="17"/>
  <c r="AP279" i="17"/>
  <c r="AB279" i="17" s="1"/>
  <c r="Y279" i="17"/>
  <c r="AO279" i="17"/>
  <c r="X279" i="17"/>
  <c r="AN286" i="17"/>
  <c r="AR279" i="17"/>
  <c r="AQ279" i="17"/>
  <c r="AR244" i="17"/>
  <c r="AF244" i="17" s="1"/>
  <c r="AQ244" i="17"/>
  <c r="AC244" i="17" s="1"/>
  <c r="AP244" i="17"/>
  <c r="AB244" i="17" s="1"/>
  <c r="AO244" i="17"/>
  <c r="Y244" i="17" s="1"/>
  <c r="X244" i="17"/>
  <c r="R237" i="17"/>
  <c r="AA235" i="17" s="1"/>
  <c r="W235" i="17"/>
  <c r="AR243" i="17"/>
  <c r="AP243" i="17"/>
  <c r="AB243" i="17" s="1"/>
  <c r="AO243" i="17"/>
  <c r="Y243" i="17" s="1"/>
  <c r="X243" i="17"/>
  <c r="AN250" i="17"/>
  <c r="AQ243" i="17"/>
  <c r="AP207" i="17"/>
  <c r="AB207" i="17" s="1"/>
  <c r="AO207" i="17"/>
  <c r="Y207" i="17" s="1"/>
  <c r="X207" i="17"/>
  <c r="AN214" i="17"/>
  <c r="AR207" i="17"/>
  <c r="AQ207" i="17"/>
  <c r="AR208" i="17"/>
  <c r="AF208" i="17" s="1"/>
  <c r="AQ208" i="17"/>
  <c r="AC208" i="17" s="1"/>
  <c r="AP208" i="17"/>
  <c r="AB208" i="17" s="1"/>
  <c r="X208" i="17"/>
  <c r="AO208" i="17"/>
  <c r="Y208" i="17" s="1"/>
  <c r="Y210" i="17"/>
  <c r="W199" i="17"/>
  <c r="R201" i="17"/>
  <c r="AA199" i="17" s="1"/>
  <c r="AP171" i="17"/>
  <c r="AB171" i="17" s="1"/>
  <c r="AN178" i="17"/>
  <c r="AO171" i="17"/>
  <c r="Y171" i="17" s="1"/>
  <c r="X171" i="17"/>
  <c r="AR171" i="17"/>
  <c r="AQ171" i="17"/>
  <c r="AP173" i="17"/>
  <c r="AB173" i="17" s="1"/>
  <c r="Y173" i="17"/>
  <c r="AO173" i="17"/>
  <c r="X173" i="17"/>
  <c r="AR173" i="17"/>
  <c r="AF173" i="17" s="1"/>
  <c r="AQ173" i="17"/>
  <c r="AC173" i="17" s="1"/>
  <c r="W163" i="17"/>
  <c r="R165" i="17"/>
  <c r="AA163" i="17" s="1"/>
  <c r="Y172" i="17"/>
  <c r="AR172" i="17"/>
  <c r="AF172" i="17" s="1"/>
  <c r="AQ172" i="17"/>
  <c r="AC172" i="17" s="1"/>
  <c r="AP172" i="17"/>
  <c r="AB172" i="17" s="1"/>
  <c r="AO172" i="17"/>
  <c r="X172" i="17"/>
  <c r="Y174" i="17"/>
  <c r="AP137" i="17"/>
  <c r="AB137" i="17" s="1"/>
  <c r="AO137" i="17"/>
  <c r="Y137" i="17" s="1"/>
  <c r="X137" i="17"/>
  <c r="AQ137" i="17"/>
  <c r="AC137" i="17" s="1"/>
  <c r="AR137" i="17"/>
  <c r="AF137" i="17" s="1"/>
  <c r="AQ138" i="17"/>
  <c r="AC138" i="17" s="1"/>
  <c r="AP138" i="17"/>
  <c r="AB138" i="17" s="1"/>
  <c r="Y138" i="17"/>
  <c r="X138" i="17"/>
  <c r="AR138" i="17"/>
  <c r="AF138" i="17" s="1"/>
  <c r="AO138" i="17"/>
  <c r="AA138" i="17" s="1"/>
  <c r="AP135" i="17"/>
  <c r="AB135" i="17" s="1"/>
  <c r="AO135" i="17"/>
  <c r="Y135" i="17" s="1"/>
  <c r="X135" i="17"/>
  <c r="AN142" i="17"/>
  <c r="AR135" i="17"/>
  <c r="AQ135" i="17"/>
  <c r="AP136" i="17"/>
  <c r="AB136" i="17" s="1"/>
  <c r="X136" i="17"/>
  <c r="AO136" i="17"/>
  <c r="Y136" i="17" s="1"/>
  <c r="AR136" i="17"/>
  <c r="AF136" i="17" s="1"/>
  <c r="AQ136" i="17"/>
  <c r="AC136" i="17" s="1"/>
  <c r="W127" i="17"/>
  <c r="R129" i="17"/>
  <c r="AA127" i="17" s="1"/>
  <c r="AN106" i="17"/>
  <c r="AR99" i="17"/>
  <c r="AP99" i="17"/>
  <c r="AB99" i="17" s="1"/>
  <c r="AO99" i="17"/>
  <c r="Y99" i="17" s="1"/>
  <c r="X99" i="17"/>
  <c r="AQ99" i="17"/>
  <c r="AP101" i="17"/>
  <c r="AB101" i="17" s="1"/>
  <c r="Y101" i="17"/>
  <c r="AO101" i="17"/>
  <c r="X101" i="17"/>
  <c r="AR101" i="17"/>
  <c r="AF101" i="17" s="1"/>
  <c r="AQ101" i="17"/>
  <c r="AC101" i="17" s="1"/>
  <c r="Y102" i="17"/>
  <c r="AR100" i="17"/>
  <c r="AF100" i="17" s="1"/>
  <c r="AP100" i="17"/>
  <c r="AB100" i="17" s="1"/>
  <c r="AO100" i="17"/>
  <c r="Y100" i="17" s="1"/>
  <c r="X100" i="17"/>
  <c r="AQ100" i="17"/>
  <c r="AC100" i="17" s="1"/>
  <c r="R93" i="17"/>
  <c r="AA91" i="17" s="1"/>
  <c r="W91" i="17"/>
  <c r="AO63" i="17"/>
  <c r="X63" i="17"/>
  <c r="AN70" i="17"/>
  <c r="AP63" i="17"/>
  <c r="AB63" i="17" s="1"/>
  <c r="Y63" i="17"/>
  <c r="AR63" i="17"/>
  <c r="AQ63" i="17"/>
  <c r="AO65" i="17"/>
  <c r="Y65" i="17" s="1"/>
  <c r="X65" i="17"/>
  <c r="AP65" i="17"/>
  <c r="AB65" i="17" s="1"/>
  <c r="Y66" i="17"/>
  <c r="R57" i="17"/>
  <c r="AA55" i="17" s="1"/>
  <c r="W55" i="17"/>
  <c r="AO29" i="17"/>
  <c r="Y29" i="17" s="1"/>
  <c r="AP29" i="17"/>
  <c r="AB29" i="17" s="1"/>
  <c r="X29" i="17"/>
  <c r="AQ29" i="17"/>
  <c r="AC29" i="17" s="1"/>
  <c r="AR29" i="17"/>
  <c r="AF29" i="17" s="1"/>
  <c r="AN34" i="17"/>
  <c r="AP27" i="17"/>
  <c r="AB27" i="17" s="1"/>
  <c r="AR27" i="17"/>
  <c r="AO27" i="17"/>
  <c r="Y27" i="17" s="1"/>
  <c r="X27" i="17"/>
  <c r="AQ27" i="17"/>
  <c r="Y30" i="17"/>
  <c r="R21" i="17"/>
  <c r="AA19" i="17" s="1"/>
  <c r="W19" i="17"/>
  <c r="AO29" i="5"/>
  <c r="X29" i="5"/>
  <c r="AP29" i="5"/>
  <c r="AB29" i="5" s="1"/>
  <c r="Y29" i="5"/>
  <c r="AQ29" i="5"/>
  <c r="AC29" i="5" s="1"/>
  <c r="AR29" i="5"/>
  <c r="AF29" i="5" s="1"/>
  <c r="X30" i="5"/>
  <c r="AP30" i="5"/>
  <c r="AB30" i="5" s="1"/>
  <c r="AO30" i="5"/>
  <c r="AA30" i="5" s="1"/>
  <c r="AQ30" i="5"/>
  <c r="AC30" i="5" s="1"/>
  <c r="AR30" i="5"/>
  <c r="AF30" i="5" s="1"/>
  <c r="AO27" i="5"/>
  <c r="Y27" i="5"/>
  <c r="X27" i="5"/>
  <c r="AR27" i="5"/>
  <c r="AQ27" i="5"/>
  <c r="AP27" i="5"/>
  <c r="AB27" i="5" s="1"/>
  <c r="R21" i="5"/>
  <c r="AA19" i="5" s="1"/>
  <c r="W19" i="5"/>
  <c r="AP28" i="5"/>
  <c r="AB28" i="5" s="1"/>
  <c r="AO28" i="5"/>
  <c r="Y28" i="5" s="1"/>
  <c r="X28" i="5"/>
  <c r="AN34" i="5"/>
  <c r="AM10" i="15"/>
  <c r="G10" i="15" s="1"/>
  <c r="CA36" i="15"/>
  <c r="BR13" i="15"/>
  <c r="AI8" i="15"/>
  <c r="F8" i="15" s="1"/>
  <c r="BW42" i="15"/>
  <c r="N42" i="15" s="1"/>
  <c r="CF46" i="15"/>
  <c r="Q46" i="15" s="1"/>
  <c r="BW17" i="15"/>
  <c r="N17" i="15" s="1"/>
  <c r="CB12" i="15"/>
  <c r="BU23" i="15"/>
  <c r="BU7" i="15"/>
  <c r="BW7" i="15" s="1"/>
  <c r="N7" i="15" s="1"/>
  <c r="AM52" i="15"/>
  <c r="G52" i="15" s="1"/>
  <c r="AM38" i="15"/>
  <c r="G38" i="15" s="1"/>
  <c r="BD7" i="15"/>
  <c r="BE7" i="15" s="1"/>
  <c r="AD12" i="15"/>
  <c r="AB12" i="15" s="1"/>
  <c r="AS52" i="15"/>
  <c r="CG56" i="15"/>
  <c r="AL49" i="15"/>
  <c r="AK49" i="15" s="1"/>
  <c r="CF35" i="15"/>
  <c r="Q35" i="15" s="1"/>
  <c r="BW56" i="15"/>
  <c r="N56" i="15" s="1"/>
  <c r="CJ49" i="15"/>
  <c r="CK49" i="15" s="1"/>
  <c r="AY11" i="15"/>
  <c r="CF52" i="15"/>
  <c r="Q52" i="15" s="1"/>
  <c r="BD15" i="15"/>
  <c r="BC15" i="15" s="1"/>
  <c r="AX15" i="15"/>
  <c r="AQ15" i="15" s="1"/>
  <c r="CG46" i="15"/>
  <c r="AI38" i="15"/>
  <c r="F38" i="15" s="1"/>
  <c r="CJ15" i="15"/>
  <c r="CI15" i="15" s="1"/>
  <c r="BG25" i="15"/>
  <c r="BX18" i="15"/>
  <c r="CA49" i="15"/>
  <c r="BY18" i="15"/>
  <c r="CB15" i="15"/>
  <c r="BY12" i="15"/>
  <c r="BT34" i="15"/>
  <c r="M34" i="15" s="1"/>
  <c r="AD15" i="15"/>
  <c r="AG13" i="15"/>
  <c r="AH15" i="15"/>
  <c r="AL18" i="15"/>
  <c r="AK18" i="15" s="1"/>
  <c r="BY15" i="15"/>
  <c r="CC38" i="15"/>
  <c r="P38" i="15" s="1"/>
  <c r="BP34" i="15"/>
  <c r="BQ34" i="15" s="1"/>
  <c r="L34" i="15" s="1"/>
  <c r="CJ29" i="15"/>
  <c r="CH29" i="15" s="1"/>
  <c r="AQ22" i="15"/>
  <c r="AG29" i="15"/>
  <c r="BX50" i="15"/>
  <c r="AH29" i="15"/>
  <c r="BZ11" i="15"/>
  <c r="O11" i="15" s="1"/>
  <c r="AI34" i="15"/>
  <c r="F34" i="15" s="1"/>
  <c r="BX29" i="15"/>
  <c r="BJ13" i="15"/>
  <c r="BG13" i="15" s="1"/>
  <c r="AL15" i="15"/>
  <c r="AK15" i="15" s="1"/>
  <c r="BW11" i="15"/>
  <c r="N11" i="15" s="1"/>
  <c r="G13" i="15"/>
  <c r="CD53" i="15"/>
  <c r="BY29" i="15"/>
  <c r="AD13" i="15"/>
  <c r="AE13" i="15" s="1"/>
  <c r="BS15" i="15"/>
  <c r="BJ29" i="15"/>
  <c r="BG29" i="15" s="1"/>
  <c r="AH13" i="15"/>
  <c r="AJ15" i="15"/>
  <c r="BU20" i="15"/>
  <c r="BC8" i="15"/>
  <c r="BF8" i="15" s="1"/>
  <c r="J8" i="15" s="1"/>
  <c r="BS13" i="15"/>
  <c r="AI56" i="15"/>
  <c r="F56" i="15" s="1"/>
  <c r="AL13" i="15"/>
  <c r="AK13" i="15" s="1"/>
  <c r="CD13" i="15"/>
  <c r="CA15" i="15"/>
  <c r="BO12" i="15"/>
  <c r="BN12" i="15" s="1"/>
  <c r="AH14" i="15"/>
  <c r="AI10" i="15"/>
  <c r="F10" i="15" s="1"/>
  <c r="AN56" i="15"/>
  <c r="BX43" i="15"/>
  <c r="BT30" i="15"/>
  <c r="M30" i="15" s="1"/>
  <c r="BW52" i="15"/>
  <c r="N52" i="15" s="1"/>
  <c r="CF11" i="15"/>
  <c r="Q11" i="15" s="1"/>
  <c r="CE12" i="15"/>
  <c r="CF12" i="15" s="1"/>
  <c r="Q12" i="15" s="1"/>
  <c r="BV43" i="15"/>
  <c r="AM11" i="15"/>
  <c r="G11" i="15" s="1"/>
  <c r="BT54" i="15"/>
  <c r="M54" i="15" s="1"/>
  <c r="CC35" i="15"/>
  <c r="P35" i="15" s="1"/>
  <c r="AS38" i="15"/>
  <c r="BC24" i="15"/>
  <c r="BF24" i="15" s="1"/>
  <c r="J24" i="15" s="1"/>
  <c r="AG43" i="15"/>
  <c r="AI24" i="15"/>
  <c r="F24" i="15" s="1"/>
  <c r="AM17" i="15"/>
  <c r="G17" i="15" s="1"/>
  <c r="CE43" i="15"/>
  <c r="BD18" i="15"/>
  <c r="BE18" i="15" s="1"/>
  <c r="CF54" i="15"/>
  <c r="Q54" i="15" s="1"/>
  <c r="CC26" i="15"/>
  <c r="P26" i="15" s="1"/>
  <c r="AU56" i="15"/>
  <c r="AH43" i="15"/>
  <c r="AY56" i="15"/>
  <c r="AD18" i="15"/>
  <c r="AE18" i="15" s="1"/>
  <c r="BZ46" i="15"/>
  <c r="O46" i="15" s="1"/>
  <c r="BV14" i="15"/>
  <c r="CF22" i="15"/>
  <c r="Q22" i="15" s="1"/>
  <c r="BD43" i="15"/>
  <c r="BO43" i="15"/>
  <c r="BN43" i="15" s="1"/>
  <c r="BA18" i="15"/>
  <c r="BB18" i="15" s="1"/>
  <c r="I18" i="15" s="1"/>
  <c r="CC46" i="15"/>
  <c r="P46" i="15" s="1"/>
  <c r="AM8" i="15"/>
  <c r="G8" i="15" s="1"/>
  <c r="BJ53" i="15"/>
  <c r="BI53" i="15" s="1"/>
  <c r="BO18" i="15"/>
  <c r="BN18" i="15" s="1"/>
  <c r="BQ18" i="15" s="1"/>
  <c r="L18" i="15" s="1"/>
  <c r="AG18" i="15"/>
  <c r="CB53" i="15"/>
  <c r="CC53" i="15" s="1"/>
  <c r="P53" i="15" s="1"/>
  <c r="AM34" i="15"/>
  <c r="G34" i="15" s="1"/>
  <c r="AW22" i="15"/>
  <c r="BS18" i="15"/>
  <c r="AI11" i="15"/>
  <c r="F11" i="15" s="1"/>
  <c r="BV50" i="15"/>
  <c r="AW38" i="15"/>
  <c r="BP35" i="15"/>
  <c r="BQ35" i="15" s="1"/>
  <c r="L35" i="15" s="1"/>
  <c r="CB13" i="15"/>
  <c r="AH33" i="15"/>
  <c r="AG16" i="15"/>
  <c r="BO41" i="15"/>
  <c r="BP41" i="15" s="1"/>
  <c r="BT17" i="15"/>
  <c r="M17" i="15" s="1"/>
  <c r="CE13" i="15"/>
  <c r="CF26" i="15"/>
  <c r="Q26" i="15" s="1"/>
  <c r="BG42" i="15"/>
  <c r="CC24" i="15"/>
  <c r="P24" i="15" s="1"/>
  <c r="CF34" i="15"/>
  <c r="Q34" i="15" s="1"/>
  <c r="CD51" i="15"/>
  <c r="AJ50" i="15"/>
  <c r="BJ41" i="15"/>
  <c r="BL41" i="15" s="1"/>
  <c r="BK41" i="15" s="1"/>
  <c r="BU13" i="15"/>
  <c r="BJ50" i="15"/>
  <c r="BI50" i="15" s="1"/>
  <c r="AH16" i="15"/>
  <c r="BX41" i="15"/>
  <c r="CC11" i="15"/>
  <c r="P11" i="15" s="1"/>
  <c r="BX13" i="15"/>
  <c r="CB44" i="15"/>
  <c r="BA50" i="15"/>
  <c r="BB50" i="15" s="1"/>
  <c r="I50" i="15" s="1"/>
  <c r="BL11" i="15"/>
  <c r="BK11" i="15" s="1"/>
  <c r="BO13" i="15"/>
  <c r="BP13" i="15" s="1"/>
  <c r="BU50" i="15"/>
  <c r="AL50" i="15"/>
  <c r="AK50" i="15" s="1"/>
  <c r="AJ16" i="15"/>
  <c r="AM16" i="15" s="1"/>
  <c r="G16" i="15" s="1"/>
  <c r="CA31" i="15"/>
  <c r="CC31" i="15" s="1"/>
  <c r="P31" i="15" s="1"/>
  <c r="BC38" i="15"/>
  <c r="BF38" i="15" s="1"/>
  <c r="J38" i="15" s="1"/>
  <c r="AD50" i="15"/>
  <c r="AC50" i="15" s="1"/>
  <c r="BR16" i="15"/>
  <c r="BT16" i="15" s="1"/>
  <c r="M16" i="15" s="1"/>
  <c r="CA41" i="15"/>
  <c r="BZ22" i="15"/>
  <c r="O22" i="15" s="1"/>
  <c r="BP11" i="15"/>
  <c r="BQ11" i="15" s="1"/>
  <c r="L11" i="15" s="1"/>
  <c r="BD13" i="15"/>
  <c r="BX44" i="15"/>
  <c r="AX12" i="15"/>
  <c r="AT12" i="15" s="1"/>
  <c r="AY38" i="15"/>
  <c r="BN38" i="15"/>
  <c r="BQ38" i="15" s="1"/>
  <c r="L38" i="15" s="1"/>
  <c r="BS41" i="15"/>
  <c r="BV13" i="15"/>
  <c r="BD44" i="15"/>
  <c r="BE44" i="15" s="1"/>
  <c r="AW54" i="15"/>
  <c r="BC23" i="15"/>
  <c r="BF23" i="15" s="1"/>
  <c r="J23" i="15" s="1"/>
  <c r="BR50" i="15"/>
  <c r="CJ16" i="15"/>
  <c r="CI16" i="15" s="1"/>
  <c r="AH41" i="15"/>
  <c r="BY13" i="15"/>
  <c r="BV15" i="15"/>
  <c r="BW15" i="15" s="1"/>
  <c r="N15" i="15" s="1"/>
  <c r="BY44" i="15"/>
  <c r="AL12" i="15"/>
  <c r="AK12" i="15" s="1"/>
  <c r="CD20" i="15"/>
  <c r="BS50" i="15"/>
  <c r="BD50" i="15"/>
  <c r="BC50" i="15" s="1"/>
  <c r="BJ39" i="15"/>
  <c r="BL39" i="15" s="1"/>
  <c r="BK39" i="15" s="1"/>
  <c r="BV23" i="15"/>
  <c r="BW22" i="15"/>
  <c r="N22" i="15" s="1"/>
  <c r="CA50" i="15"/>
  <c r="CC50" i="15" s="1"/>
  <c r="P50" i="15" s="1"/>
  <c r="AX41" i="15"/>
  <c r="AT41" i="15" s="1"/>
  <c r="AX13" i="15"/>
  <c r="AV13" i="15" s="1"/>
  <c r="BJ12" i="15"/>
  <c r="BH12" i="15" s="1"/>
  <c r="AL20" i="15"/>
  <c r="AK20" i="15" s="1"/>
  <c r="CD50" i="15"/>
  <c r="AP38" i="15"/>
  <c r="AX50" i="15"/>
  <c r="AQ50" i="15" s="1"/>
  <c r="CD41" i="15"/>
  <c r="CA13" i="15"/>
  <c r="CJ41" i="15"/>
  <c r="CI41" i="15" s="1"/>
  <c r="BU32" i="15"/>
  <c r="BU16" i="15"/>
  <c r="BA16" i="15"/>
  <c r="BB16" i="15" s="1"/>
  <c r="I16" i="15" s="1"/>
  <c r="BC46" i="15"/>
  <c r="BF46" i="15" s="1"/>
  <c r="J46" i="15" s="1"/>
  <c r="CE50" i="15"/>
  <c r="AT38" i="15"/>
  <c r="BR43" i="15"/>
  <c r="AI22" i="15"/>
  <c r="F22" i="15" s="1"/>
  <c r="CJ50" i="15"/>
  <c r="CH50" i="15" s="1"/>
  <c r="AH18" i="15"/>
  <c r="BA13" i="15"/>
  <c r="BB13" i="15" s="1"/>
  <c r="I13" i="15" s="1"/>
  <c r="CA20" i="15"/>
  <c r="CC20" i="15" s="1"/>
  <c r="P20" i="15" s="1"/>
  <c r="AH50" i="15"/>
  <c r="BO33" i="15"/>
  <c r="BN33" i="15" s="1"/>
  <c r="BO50" i="15"/>
  <c r="BZ52" i="15"/>
  <c r="O52" i="15" s="1"/>
  <c r="BW46" i="15"/>
  <c r="N46" i="15" s="1"/>
  <c r="CJ13" i="15"/>
  <c r="CI13" i="15" s="1"/>
  <c r="BT8" i="15"/>
  <c r="M8" i="15" s="1"/>
  <c r="AG50" i="15"/>
  <c r="AL21" i="15"/>
  <c r="AK21" i="15" s="1"/>
  <c r="AY46" i="15"/>
  <c r="AL53" i="15"/>
  <c r="AK53" i="15" s="1"/>
  <c r="BO49" i="15"/>
  <c r="BP49" i="15" s="1"/>
  <c r="BL35" i="15"/>
  <c r="BK35" i="15" s="1"/>
  <c r="BR28" i="15"/>
  <c r="BT28" i="15" s="1"/>
  <c r="M28" i="15" s="1"/>
  <c r="AU54" i="15"/>
  <c r="BP46" i="15"/>
  <c r="BQ46" i="15" s="1"/>
  <c r="L46" i="15" s="1"/>
  <c r="CD49" i="15"/>
  <c r="CC54" i="15"/>
  <c r="P54" i="15" s="1"/>
  <c r="BX53" i="15"/>
  <c r="CE39" i="15"/>
  <c r="BD41" i="15"/>
  <c r="BV16" i="15"/>
  <c r="AL41" i="15"/>
  <c r="AK41" i="15" s="1"/>
  <c r="BV21" i="15"/>
  <c r="AI35" i="15"/>
  <c r="F35" i="15" s="1"/>
  <c r="BA27" i="15"/>
  <c r="BB27" i="15" s="1"/>
  <c r="I27" i="15" s="1"/>
  <c r="CA21" i="15"/>
  <c r="CC21" i="15" s="1"/>
  <c r="P21" i="15" s="1"/>
  <c r="BD49" i="15"/>
  <c r="BE49" i="15" s="1"/>
  <c r="BJ21" i="15"/>
  <c r="BL21" i="15" s="1"/>
  <c r="BK21" i="15" s="1"/>
  <c r="CE21" i="15"/>
  <c r="BV53" i="15"/>
  <c r="AC56" i="15"/>
  <c r="BJ27" i="15"/>
  <c r="BL27" i="15" s="1"/>
  <c r="BK27" i="15" s="1"/>
  <c r="AH27" i="15"/>
  <c r="BZ56" i="15"/>
  <c r="O56" i="15" s="1"/>
  <c r="AM54" i="15"/>
  <c r="G54" i="15" s="1"/>
  <c r="AQ54" i="15"/>
  <c r="BD53" i="15"/>
  <c r="AM56" i="15"/>
  <c r="G56" i="15" s="1"/>
  <c r="AL32" i="15"/>
  <c r="AK32" i="15" s="1"/>
  <c r="BU21" i="15"/>
  <c r="BR21" i="15"/>
  <c r="AJ18" i="15"/>
  <c r="AG21" i="15"/>
  <c r="AD9" i="15"/>
  <c r="AC9" i="15" s="1"/>
  <c r="AO11" i="15"/>
  <c r="BW54" i="15"/>
  <c r="N54" i="15" s="1"/>
  <c r="BZ24" i="15"/>
  <c r="O24" i="15" s="1"/>
  <c r="BY50" i="15"/>
  <c r="CE29" i="15"/>
  <c r="BY27" i="15"/>
  <c r="BC11" i="15"/>
  <c r="BF11" i="15" s="1"/>
  <c r="J11" i="15" s="1"/>
  <c r="CE49" i="15"/>
  <c r="BY53" i="15"/>
  <c r="BT56" i="15"/>
  <c r="M56" i="15" s="1"/>
  <c r="CA29" i="15"/>
  <c r="BY9" i="15"/>
  <c r="AD21" i="15"/>
  <c r="BU9" i="15"/>
  <c r="BW9" i="15" s="1"/>
  <c r="N9" i="15" s="1"/>
  <c r="AG41" i="15"/>
  <c r="AN11" i="15"/>
  <c r="BZ42" i="15"/>
  <c r="O42" i="15" s="1"/>
  <c r="AX44" i="15"/>
  <c r="AP44" i="15" s="1"/>
  <c r="AZ42" i="15"/>
  <c r="H42" i="15" s="1"/>
  <c r="BO27" i="15"/>
  <c r="BP27" i="15" s="1"/>
  <c r="BW35" i="15"/>
  <c r="N35" i="15" s="1"/>
  <c r="BI52" i="15"/>
  <c r="AL29" i="15"/>
  <c r="AK29" i="15" s="1"/>
  <c r="BW24" i="15"/>
  <c r="N24" i="15" s="1"/>
  <c r="BU39" i="15"/>
  <c r="BE30" i="15"/>
  <c r="BO29" i="15"/>
  <c r="BS33" i="15"/>
  <c r="CJ32" i="15"/>
  <c r="CI32" i="15" s="1"/>
  <c r="BD16" i="15"/>
  <c r="BC16" i="15" s="1"/>
  <c r="BV18" i="15"/>
  <c r="BA21" i="15"/>
  <c r="BB21" i="15" s="1"/>
  <c r="I21" i="15" s="1"/>
  <c r="BY41" i="15"/>
  <c r="BA41" i="15"/>
  <c r="BB41" i="15" s="1"/>
  <c r="I41" i="15" s="1"/>
  <c r="AS11" i="15"/>
  <c r="CC17" i="15"/>
  <c r="P17" i="15" s="1"/>
  <c r="CC42" i="15"/>
  <c r="P42" i="15" s="1"/>
  <c r="BJ44" i="15"/>
  <c r="BW10" i="15"/>
  <c r="N10" i="15" s="1"/>
  <c r="BW26" i="15"/>
  <c r="N26" i="15" s="1"/>
  <c r="AJ21" i="15"/>
  <c r="BP12" i="15"/>
  <c r="BQ12" i="15" s="1"/>
  <c r="L12" i="15" s="1"/>
  <c r="AI42" i="15"/>
  <c r="F42" i="15" s="1"/>
  <c r="AM46" i="15"/>
  <c r="G46" i="15" s="1"/>
  <c r="AX53" i="15"/>
  <c r="AW53" i="15" s="1"/>
  <c r="BS21" i="15"/>
  <c r="BY21" i="15"/>
  <c r="BD21" i="15"/>
  <c r="AL39" i="15"/>
  <c r="AK39" i="15" s="1"/>
  <c r="BT38" i="15"/>
  <c r="M38" i="15" s="1"/>
  <c r="BR29" i="15"/>
  <c r="CB29" i="15"/>
  <c r="AY22" i="15"/>
  <c r="AN22" i="15"/>
  <c r="BA32" i="15"/>
  <c r="BB32" i="15" s="1"/>
  <c r="I32" i="15" s="1"/>
  <c r="BX27" i="15"/>
  <c r="CB41" i="15"/>
  <c r="BD29" i="15"/>
  <c r="BE29" i="15" s="1"/>
  <c r="AT11" i="15"/>
  <c r="BD27" i="15"/>
  <c r="BC27" i="15" s="1"/>
  <c r="AV54" i="15"/>
  <c r="BD39" i="15"/>
  <c r="BW34" i="15"/>
  <c r="N34" i="15" s="1"/>
  <c r="CB33" i="15"/>
  <c r="BE22" i="15"/>
  <c r="BF22" i="15" s="1"/>
  <c r="J22" i="15" s="1"/>
  <c r="AH21" i="15"/>
  <c r="AD41" i="15"/>
  <c r="BU41" i="15"/>
  <c r="BW41" i="15" s="1"/>
  <c r="N41" i="15" s="1"/>
  <c r="BS29" i="15"/>
  <c r="BS44" i="15"/>
  <c r="AX29" i="15"/>
  <c r="BA29" i="15"/>
  <c r="BB29" i="15" s="1"/>
  <c r="I29" i="15" s="1"/>
  <c r="BR53" i="15"/>
  <c r="BX21" i="15"/>
  <c r="BN54" i="15"/>
  <c r="BQ54" i="15" s="1"/>
  <c r="L54" i="15" s="1"/>
  <c r="CC56" i="15"/>
  <c r="P56" i="15" s="1"/>
  <c r="BV39" i="15"/>
  <c r="AG33" i="15"/>
  <c r="AM22" i="15"/>
  <c r="G22" i="15" s="1"/>
  <c r="CA16" i="15"/>
  <c r="BA47" i="15"/>
  <c r="BB47" i="15" s="1"/>
  <c r="I47" i="15" s="1"/>
  <c r="BJ18" i="15"/>
  <c r="BL18" i="15" s="1"/>
  <c r="BK18" i="15" s="1"/>
  <c r="BU29" i="15"/>
  <c r="BW29" i="15" s="1"/>
  <c r="N29" i="15" s="1"/>
  <c r="BT22" i="15"/>
  <c r="M22" i="15" s="1"/>
  <c r="CD36" i="15"/>
  <c r="BU14" i="15"/>
  <c r="AM24" i="15"/>
  <c r="G24" i="15" s="1"/>
  <c r="BA12" i="15"/>
  <c r="BB12" i="15" s="1"/>
  <c r="I12" i="15" s="1"/>
  <c r="AJ29" i="15"/>
  <c r="AD29" i="15"/>
  <c r="AI46" i="15"/>
  <c r="F46" i="15" s="1"/>
  <c r="CD29" i="15"/>
  <c r="AJ47" i="15"/>
  <c r="AJ41" i="15"/>
  <c r="BJ36" i="15"/>
  <c r="BG36" i="15" s="1"/>
  <c r="BW25" i="15"/>
  <c r="N25" i="15" s="1"/>
  <c r="BZ10" i="15"/>
  <c r="O10" i="15" s="1"/>
  <c r="BT35" i="15"/>
  <c r="M35" i="15" s="1"/>
  <c r="BZ8" i="15"/>
  <c r="O8" i="15" s="1"/>
  <c r="CI24" i="15"/>
  <c r="CG24" i="15"/>
  <c r="CH24" i="15"/>
  <c r="CB37" i="15"/>
  <c r="BV37" i="15"/>
  <c r="BU37" i="15"/>
  <c r="BO37" i="15"/>
  <c r="AH37" i="15"/>
  <c r="AL37" i="15"/>
  <c r="AK37" i="15" s="1"/>
  <c r="CJ37" i="15"/>
  <c r="AG37" i="15"/>
  <c r="BS37" i="15"/>
  <c r="AX37" i="15"/>
  <c r="BY37" i="15"/>
  <c r="BJ37" i="15"/>
  <c r="BR37" i="15"/>
  <c r="CD37" i="15"/>
  <c r="CF37" i="15" s="1"/>
  <c r="Q37" i="15" s="1"/>
  <c r="AJ37" i="15"/>
  <c r="BX37" i="15"/>
  <c r="AD37" i="15"/>
  <c r="AU33" i="15"/>
  <c r="AW33" i="15"/>
  <c r="AR33" i="15"/>
  <c r="AN33" i="15"/>
  <c r="AS33" i="15"/>
  <c r="AP33" i="15"/>
  <c r="AV33" i="15"/>
  <c r="AQ33" i="15"/>
  <c r="AT33" i="15"/>
  <c r="AY33" i="15"/>
  <c r="AO33" i="15"/>
  <c r="AC24" i="15"/>
  <c r="AE24" i="15"/>
  <c r="AB24" i="15"/>
  <c r="AU17" i="15"/>
  <c r="AS17" i="15"/>
  <c r="AP17" i="15"/>
  <c r="AR17" i="15"/>
  <c r="AQ17" i="15"/>
  <c r="AO17" i="15"/>
  <c r="AW17" i="15"/>
  <c r="AV17" i="15"/>
  <c r="AT17" i="15"/>
  <c r="AN17" i="15"/>
  <c r="AE8" i="15"/>
  <c r="AC8" i="15"/>
  <c r="AB8" i="15"/>
  <c r="CK34" i="15"/>
  <c r="CH34" i="15"/>
  <c r="CG34" i="15"/>
  <c r="CI34" i="15"/>
  <c r="CH11" i="15"/>
  <c r="CI11" i="15"/>
  <c r="CK11" i="15"/>
  <c r="CG11" i="15"/>
  <c r="AB35" i="15"/>
  <c r="AC35" i="15"/>
  <c r="AE35" i="15"/>
  <c r="AL51" i="15"/>
  <c r="AK51" i="15" s="1"/>
  <c r="BO51" i="15"/>
  <c r="CJ51" i="15"/>
  <c r="BD51" i="15"/>
  <c r="BA51" i="15"/>
  <c r="BB51" i="15" s="1"/>
  <c r="I51" i="15" s="1"/>
  <c r="BJ51" i="15"/>
  <c r="CE51" i="15"/>
  <c r="AD51" i="15"/>
  <c r="CB51" i="15"/>
  <c r="BR51" i="15"/>
  <c r="AG51" i="15"/>
  <c r="BU51" i="15"/>
  <c r="BW51" i="15" s="1"/>
  <c r="N51" i="15" s="1"/>
  <c r="BX51" i="15"/>
  <c r="BS51" i="15"/>
  <c r="AJ51" i="15"/>
  <c r="CA51" i="15"/>
  <c r="AB30" i="15"/>
  <c r="AC30" i="15"/>
  <c r="AE30" i="15"/>
  <c r="BT24" i="15"/>
  <c r="M24" i="15" s="1"/>
  <c r="BY51" i="15"/>
  <c r="CA37" i="15"/>
  <c r="BI30" i="15"/>
  <c r="BH30" i="15"/>
  <c r="BL30" i="15"/>
  <c r="BK30" i="15" s="1"/>
  <c r="BG30" i="15"/>
  <c r="AY26" i="15"/>
  <c r="AW26" i="15"/>
  <c r="AR26" i="15"/>
  <c r="AP26" i="15"/>
  <c r="AN26" i="15"/>
  <c r="AO26" i="15"/>
  <c r="AV26" i="15"/>
  <c r="AU26" i="15"/>
  <c r="AT26" i="15"/>
  <c r="AS26" i="15"/>
  <c r="AQ26" i="15"/>
  <c r="AY35" i="15"/>
  <c r="AN35" i="15"/>
  <c r="AW35" i="15"/>
  <c r="AT35" i="15"/>
  <c r="AO35" i="15"/>
  <c r="AV35" i="15"/>
  <c r="AU35" i="15"/>
  <c r="AQ35" i="15"/>
  <c r="AR35" i="15"/>
  <c r="AP35" i="15"/>
  <c r="CJ45" i="15"/>
  <c r="BO45" i="15"/>
  <c r="CD45" i="15"/>
  <c r="BS45" i="15"/>
  <c r="BT45" i="15" s="1"/>
  <c r="M45" i="15" s="1"/>
  <c r="AJ45" i="15"/>
  <c r="BJ45" i="15"/>
  <c r="AG45" i="15"/>
  <c r="CE45" i="15"/>
  <c r="BD45" i="15"/>
  <c r="BU45" i="15"/>
  <c r="BY45" i="15"/>
  <c r="BX45" i="15"/>
  <c r="AX45" i="15"/>
  <c r="AH45" i="15"/>
  <c r="AD45" i="15"/>
  <c r="CB45" i="15"/>
  <c r="CA45" i="15"/>
  <c r="BV45" i="15"/>
  <c r="AL45" i="15"/>
  <c r="AK45" i="15" s="1"/>
  <c r="BA45" i="15"/>
  <c r="BB45" i="15" s="1"/>
  <c r="I45" i="15" s="1"/>
  <c r="BL54" i="15"/>
  <c r="BK54" i="15" s="1"/>
  <c r="BG54" i="15"/>
  <c r="BI54" i="15"/>
  <c r="BH54" i="15"/>
  <c r="BO55" i="15"/>
  <c r="CD55" i="15"/>
  <c r="CF55" i="15" s="1"/>
  <c r="Q55" i="15" s="1"/>
  <c r="CA55" i="15"/>
  <c r="AD55" i="15"/>
  <c r="BA55" i="15"/>
  <c r="BB55" i="15" s="1"/>
  <c r="I55" i="15" s="1"/>
  <c r="BD55" i="15"/>
  <c r="AH55" i="15"/>
  <c r="BJ55" i="15"/>
  <c r="BV55" i="15"/>
  <c r="AX55" i="15"/>
  <c r="AG55" i="15"/>
  <c r="CJ55" i="15"/>
  <c r="BS55" i="15"/>
  <c r="BX55" i="15"/>
  <c r="CB55" i="15"/>
  <c r="BU55" i="15"/>
  <c r="BR55" i="15"/>
  <c r="BS40" i="15"/>
  <c r="BY40" i="15"/>
  <c r="BR40" i="15"/>
  <c r="BO40" i="15"/>
  <c r="AX40" i="15"/>
  <c r="CA40" i="15"/>
  <c r="CE40" i="15"/>
  <c r="AH40" i="15"/>
  <c r="CD40" i="15"/>
  <c r="BV40" i="15"/>
  <c r="BJ40" i="15"/>
  <c r="BA40" i="15"/>
  <c r="BB40" i="15" s="1"/>
  <c r="I40" i="15" s="1"/>
  <c r="BU40" i="15"/>
  <c r="CB40" i="15"/>
  <c r="AJ40" i="15"/>
  <c r="AL40" i="15"/>
  <c r="AK40" i="15" s="1"/>
  <c r="AD40" i="15"/>
  <c r="AG40" i="15"/>
  <c r="BX40" i="15"/>
  <c r="CJ40" i="15"/>
  <c r="AC54" i="15"/>
  <c r="AB54" i="15"/>
  <c r="AE54" i="15"/>
  <c r="AS35" i="15"/>
  <c r="AY17" i="15"/>
  <c r="AJ55" i="15"/>
  <c r="BL22" i="15"/>
  <c r="BK22" i="15" s="1"/>
  <c r="BI22" i="15"/>
  <c r="BH22" i="15"/>
  <c r="BG22" i="15"/>
  <c r="BD40" i="15"/>
  <c r="BA37" i="15"/>
  <c r="BB37" i="15" s="1"/>
  <c r="I37" i="15" s="1"/>
  <c r="AL55" i="15"/>
  <c r="AK55" i="15" s="1"/>
  <c r="BV47" i="15"/>
  <c r="BS47" i="15"/>
  <c r="BD47" i="15"/>
  <c r="CD47" i="15"/>
  <c r="CF47" i="15" s="1"/>
  <c r="Q47" i="15" s="1"/>
  <c r="BR47" i="15"/>
  <c r="BJ47" i="15"/>
  <c r="AL47" i="15"/>
  <c r="AK47" i="15" s="1"/>
  <c r="AD47" i="15"/>
  <c r="CA47" i="15"/>
  <c r="AH47" i="15"/>
  <c r="BO47" i="15"/>
  <c r="AX47" i="15"/>
  <c r="AG47" i="15"/>
  <c r="CJ47" i="15"/>
  <c r="BX47" i="15"/>
  <c r="CB47" i="15"/>
  <c r="BU47" i="15"/>
  <c r="BW47" i="15" s="1"/>
  <c r="N47" i="15" s="1"/>
  <c r="BY47" i="15"/>
  <c r="AH31" i="15"/>
  <c r="AL31" i="15"/>
  <c r="AK31" i="15" s="1"/>
  <c r="BJ31" i="15"/>
  <c r="AG31" i="15"/>
  <c r="BD31" i="15"/>
  <c r="AD31" i="15"/>
  <c r="CE31" i="15"/>
  <c r="BO31" i="15"/>
  <c r="CD31" i="15"/>
  <c r="AX31" i="15"/>
  <c r="BY31" i="15"/>
  <c r="BX31" i="15"/>
  <c r="BV31" i="15"/>
  <c r="CJ31" i="15"/>
  <c r="BU31" i="15"/>
  <c r="BR31" i="15"/>
  <c r="BS31" i="15"/>
  <c r="BA31" i="15"/>
  <c r="BB31" i="15" s="1"/>
  <c r="I31" i="15" s="1"/>
  <c r="AJ31" i="15"/>
  <c r="BN17" i="15"/>
  <c r="BQ17" i="15" s="1"/>
  <c r="L17" i="15" s="1"/>
  <c r="BP17" i="15"/>
  <c r="AH51" i="15"/>
  <c r="BD37" i="15"/>
  <c r="CD9" i="15"/>
  <c r="BO9" i="15"/>
  <c r="BJ9" i="15"/>
  <c r="AL9" i="15"/>
  <c r="AK9" i="15" s="1"/>
  <c r="AG9" i="15"/>
  <c r="CJ9" i="15"/>
  <c r="BD9" i="15"/>
  <c r="CA9" i="15"/>
  <c r="AH9" i="15"/>
  <c r="CB9" i="15"/>
  <c r="CE9" i="15"/>
  <c r="BX9" i="15"/>
  <c r="AX9" i="15"/>
  <c r="BS9" i="15"/>
  <c r="AJ9" i="15"/>
  <c r="BR9" i="15"/>
  <c r="BA9" i="15"/>
  <c r="BB9" i="15" s="1"/>
  <c r="I9" i="15" s="1"/>
  <c r="CK24" i="15"/>
  <c r="BY55" i="15"/>
  <c r="AX51" i="15"/>
  <c r="CK26" i="15"/>
  <c r="CI26" i="15"/>
  <c r="CH26" i="15"/>
  <c r="CE48" i="15"/>
  <c r="CF48" i="15" s="1"/>
  <c r="Q48" i="15" s="1"/>
  <c r="BJ48" i="15"/>
  <c r="BX48" i="15"/>
  <c r="BV48" i="15"/>
  <c r="CB48" i="15"/>
  <c r="BA48" i="15"/>
  <c r="BB48" i="15" s="1"/>
  <c r="I48" i="15" s="1"/>
  <c r="CJ48" i="15"/>
  <c r="BU48" i="15"/>
  <c r="AG48" i="15"/>
  <c r="BO48" i="15"/>
  <c r="AX48" i="15"/>
  <c r="AH48" i="15"/>
  <c r="BS48" i="15"/>
  <c r="BY48" i="15"/>
  <c r="AD48" i="15"/>
  <c r="BN30" i="15"/>
  <c r="BP30" i="15"/>
  <c r="AJ36" i="15"/>
  <c r="BC17" i="15"/>
  <c r="BE17" i="15"/>
  <c r="CG25" i="15"/>
  <c r="CK25" i="15"/>
  <c r="CH25" i="15"/>
  <c r="BP26" i="15"/>
  <c r="BN26" i="15"/>
  <c r="BQ26" i="15" s="1"/>
  <c r="L26" i="15" s="1"/>
  <c r="AI54" i="15"/>
  <c r="F54" i="15" s="1"/>
  <c r="AL48" i="15"/>
  <c r="AK48" i="15" s="1"/>
  <c r="AG32" i="15"/>
  <c r="CD32" i="15"/>
  <c r="BS32" i="15"/>
  <c r="BT32" i="15" s="1"/>
  <c r="M32" i="15" s="1"/>
  <c r="AX32" i="15"/>
  <c r="AD32" i="15"/>
  <c r="CA32" i="15"/>
  <c r="AH32" i="15"/>
  <c r="BO32" i="15"/>
  <c r="BJ32" i="15"/>
  <c r="CB32" i="15"/>
  <c r="CE32" i="15"/>
  <c r="BD32" i="15"/>
  <c r="BR36" i="15"/>
  <c r="CI17" i="15"/>
  <c r="CG17" i="15"/>
  <c r="CK17" i="15"/>
  <c r="CH17" i="15"/>
  <c r="AD14" i="15"/>
  <c r="BT42" i="15"/>
  <c r="M42" i="15" s="1"/>
  <c r="AM42" i="15"/>
  <c r="G42" i="15" s="1"/>
  <c r="CI35" i="15"/>
  <c r="CH35" i="15"/>
  <c r="CG35" i="15"/>
  <c r="CK35" i="15"/>
  <c r="AE11" i="15"/>
  <c r="AC11" i="15"/>
  <c r="BZ30" i="15"/>
  <c r="O30" i="15" s="1"/>
  <c r="N20" i="15"/>
  <c r="M20" i="15"/>
  <c r="K20" i="15"/>
  <c r="G20" i="15"/>
  <c r="CE20" i="15"/>
  <c r="BR20" i="15"/>
  <c r="BJ20" i="15"/>
  <c r="AD20" i="15"/>
  <c r="BX20" i="15"/>
  <c r="CJ20" i="15"/>
  <c r="BO20" i="15"/>
  <c r="AG20" i="15"/>
  <c r="AX20" i="15"/>
  <c r="BY20" i="15"/>
  <c r="AT56" i="15"/>
  <c r="AP56" i="15"/>
  <c r="AR56" i="15"/>
  <c r="AV56" i="15"/>
  <c r="AO56" i="15"/>
  <c r="AS56" i="15"/>
  <c r="AW56" i="15"/>
  <c r="AV30" i="15"/>
  <c r="AT30" i="15"/>
  <c r="AS30" i="15"/>
  <c r="AU30" i="15"/>
  <c r="AW30" i="15"/>
  <c r="AR30" i="15"/>
  <c r="AP30" i="15"/>
  <c r="AQ30" i="15"/>
  <c r="AO30" i="15"/>
  <c r="BX32" i="15"/>
  <c r="CF30" i="15"/>
  <c r="Q30" i="15" s="1"/>
  <c r="BV32" i="15"/>
  <c r="CF17" i="15"/>
  <c r="Q17" i="15" s="1"/>
  <c r="AH20" i="15"/>
  <c r="BG35" i="15"/>
  <c r="BH35" i="15"/>
  <c r="CI25" i="15"/>
  <c r="AX36" i="15"/>
  <c r="BU12" i="15"/>
  <c r="BS12" i="15"/>
  <c r="AJ12" i="15"/>
  <c r="AM12" i="15" s="1"/>
  <c r="G12" i="15" s="1"/>
  <c r="AH12" i="15"/>
  <c r="BR12" i="15"/>
  <c r="AG12" i="15"/>
  <c r="BD12" i="15"/>
  <c r="BX12" i="15"/>
  <c r="CA12" i="15"/>
  <c r="CJ12" i="15"/>
  <c r="AT34" i="15"/>
  <c r="AU34" i="15"/>
  <c r="AR34" i="15"/>
  <c r="AO34" i="15"/>
  <c r="AQ34" i="15"/>
  <c r="AN34" i="15"/>
  <c r="AY34" i="15"/>
  <c r="AS34" i="15"/>
  <c r="AV34" i="15"/>
  <c r="AW34" i="15"/>
  <c r="BA20" i="15"/>
  <c r="BB20" i="15" s="1"/>
  <c r="I20" i="15" s="1"/>
  <c r="BD48" i="15"/>
  <c r="BH56" i="15"/>
  <c r="BL56" i="15"/>
  <c r="BK56" i="15" s="1"/>
  <c r="BG56" i="15"/>
  <c r="CK56" i="15"/>
  <c r="CI56" i="15"/>
  <c r="CK38" i="15"/>
  <c r="CH38" i="15"/>
  <c r="CG38" i="15"/>
  <c r="AY30" i="15"/>
  <c r="CE28" i="15"/>
  <c r="AG28" i="15"/>
  <c r="BY28" i="15"/>
  <c r="BA28" i="15"/>
  <c r="BB28" i="15" s="1"/>
  <c r="I28" i="15" s="1"/>
  <c r="BX28" i="15"/>
  <c r="CB28" i="15"/>
  <c r="BD28" i="15"/>
  <c r="AD28" i="15"/>
  <c r="CJ28" i="15"/>
  <c r="AJ28" i="15"/>
  <c r="BO28" i="15"/>
  <c r="AH28" i="15"/>
  <c r="CD28" i="15"/>
  <c r="BV28" i="15"/>
  <c r="BU28" i="15"/>
  <c r="BJ28" i="15"/>
  <c r="AX28" i="15"/>
  <c r="AL28" i="15"/>
  <c r="AK28" i="15" s="1"/>
  <c r="CA28" i="15"/>
  <c r="CD33" i="15"/>
  <c r="BV33" i="15"/>
  <c r="BX33" i="15"/>
  <c r="CJ33" i="15"/>
  <c r="BR33" i="15"/>
  <c r="AD33" i="15"/>
  <c r="BD33" i="15"/>
  <c r="AL33" i="15"/>
  <c r="AK33" i="15" s="1"/>
  <c r="AJ33" i="15"/>
  <c r="CA33" i="15"/>
  <c r="CE33" i="15"/>
  <c r="BU33" i="15"/>
  <c r="BY33" i="15"/>
  <c r="BJ33" i="15"/>
  <c r="BA33" i="15"/>
  <c r="BB33" i="15" s="1"/>
  <c r="I33" i="15" s="1"/>
  <c r="CC22" i="15"/>
  <c r="P22" i="15" s="1"/>
  <c r="BY32" i="15"/>
  <c r="AE52" i="15"/>
  <c r="AB52" i="15"/>
  <c r="AC52" i="15"/>
  <c r="CC52" i="15"/>
  <c r="P52" i="15" s="1"/>
  <c r="BO36" i="15"/>
  <c r="BP22" i="15"/>
  <c r="BN22" i="15"/>
  <c r="BH11" i="15"/>
  <c r="AD36" i="15"/>
  <c r="CK54" i="15"/>
  <c r="CH54" i="15"/>
  <c r="CG54" i="15"/>
  <c r="BE25" i="15"/>
  <c r="BC25" i="15"/>
  <c r="BD14" i="15"/>
  <c r="CB14" i="15"/>
  <c r="BE35" i="15"/>
  <c r="BC35" i="15"/>
  <c r="BV20" i="15"/>
  <c r="AB17" i="15"/>
  <c r="AE17" i="15"/>
  <c r="AC17" i="15"/>
  <c r="CG26" i="15"/>
  <c r="BE52" i="15"/>
  <c r="BF52" i="15" s="1"/>
  <c r="J52" i="15" s="1"/>
  <c r="AJ48" i="15"/>
  <c r="AE56" i="15"/>
  <c r="BS49" i="15"/>
  <c r="AD49" i="15"/>
  <c r="BA49" i="15"/>
  <c r="BB49" i="15" s="1"/>
  <c r="I49" i="15" s="1"/>
  <c r="BY49" i="15"/>
  <c r="BZ49" i="15" s="1"/>
  <c r="O49" i="15" s="1"/>
  <c r="CB49" i="15"/>
  <c r="BU49" i="15"/>
  <c r="AX49" i="15"/>
  <c r="AJ49" i="15"/>
  <c r="AH49" i="15"/>
  <c r="BV49" i="15"/>
  <c r="AG49" i="15"/>
  <c r="BR49" i="15"/>
  <c r="BJ49" i="15"/>
  <c r="CC30" i="15"/>
  <c r="P30" i="15" s="1"/>
  <c r="BD36" i="15"/>
  <c r="AC25" i="15"/>
  <c r="AE25" i="15"/>
  <c r="CJ14" i="15"/>
  <c r="CA44" i="15"/>
  <c r="BO44" i="15"/>
  <c r="BU44" i="15"/>
  <c r="AL44" i="15"/>
  <c r="AK44" i="15" s="1"/>
  <c r="BA44" i="15"/>
  <c r="BB44" i="15" s="1"/>
  <c r="I44" i="15" s="1"/>
  <c r="AD44" i="15"/>
  <c r="CE44" i="15"/>
  <c r="CF44" i="15" s="1"/>
  <c r="Q44" i="15" s="1"/>
  <c r="CJ44" i="15"/>
  <c r="AJ44" i="15"/>
  <c r="BR44" i="15"/>
  <c r="AG44" i="15"/>
  <c r="AH44" i="15"/>
  <c r="BL10" i="15"/>
  <c r="BK10" i="15" s="1"/>
  <c r="BH10" i="15"/>
  <c r="BG10" i="15"/>
  <c r="BI10" i="15"/>
  <c r="CC8" i="15"/>
  <c r="P8" i="15" s="1"/>
  <c r="AJ20" i="15"/>
  <c r="BE56" i="15"/>
  <c r="BC56" i="15"/>
  <c r="BR48" i="15"/>
  <c r="BP24" i="15"/>
  <c r="BN24" i="15"/>
  <c r="BY14" i="15"/>
  <c r="CE14" i="15"/>
  <c r="AJ14" i="15"/>
  <c r="AM14" i="15" s="1"/>
  <c r="G14" i="15" s="1"/>
  <c r="AG14" i="15"/>
  <c r="BO14" i="15"/>
  <c r="CA14" i="15"/>
  <c r="AX14" i="15"/>
  <c r="AL14" i="15"/>
  <c r="AK14" i="15" s="1"/>
  <c r="CD14" i="15"/>
  <c r="BS14" i="15"/>
  <c r="BJ14" i="15"/>
  <c r="BX14" i="15"/>
  <c r="AE10" i="15"/>
  <c r="AB10" i="15"/>
  <c r="AC10" i="15"/>
  <c r="CD19" i="15"/>
  <c r="CJ19" i="15"/>
  <c r="BO19" i="15"/>
  <c r="G19" i="15"/>
  <c r="CE19" i="15"/>
  <c r="BJ19" i="15"/>
  <c r="CB19" i="15"/>
  <c r="AJ19" i="15"/>
  <c r="BD19" i="15"/>
  <c r="AD19" i="15"/>
  <c r="CA19" i="15"/>
  <c r="AX19" i="15"/>
  <c r="N19" i="15"/>
  <c r="M19" i="15"/>
  <c r="BY19" i="15"/>
  <c r="K19" i="15"/>
  <c r="BX19" i="15"/>
  <c r="BV19" i="15"/>
  <c r="BU19" i="15"/>
  <c r="AH19" i="15"/>
  <c r="BS19" i="15"/>
  <c r="AG19" i="15"/>
  <c r="AL19" i="15"/>
  <c r="AK19" i="15" s="1"/>
  <c r="BR19" i="15"/>
  <c r="CH30" i="15"/>
  <c r="CG30" i="15"/>
  <c r="CI30" i="15"/>
  <c r="AM30" i="15"/>
  <c r="G30" i="15" s="1"/>
  <c r="AN54" i="15"/>
  <c r="AP54" i="15"/>
  <c r="AR54" i="15"/>
  <c r="AO54" i="15"/>
  <c r="AY54" i="15"/>
  <c r="AT54" i="15"/>
  <c r="BR14" i="15"/>
  <c r="BV44" i="15"/>
  <c r="BV12" i="15"/>
  <c r="CC34" i="15"/>
  <c r="P34" i="15" s="1"/>
  <c r="BS20" i="15"/>
  <c r="BD20" i="15"/>
  <c r="CE36" i="15"/>
  <c r="BX36" i="15"/>
  <c r="AL36" i="15"/>
  <c r="AK36" i="15" s="1"/>
  <c r="BY36" i="15"/>
  <c r="BS36" i="15"/>
  <c r="CB36" i="15"/>
  <c r="CC36" i="15" s="1"/>
  <c r="P36" i="15" s="1"/>
  <c r="BV36" i="15"/>
  <c r="CJ36" i="15"/>
  <c r="AG36" i="15"/>
  <c r="AI36" i="15" s="1"/>
  <c r="F36" i="15" s="1"/>
  <c r="BA36" i="15"/>
  <c r="BB36" i="15" s="1"/>
  <c r="I36" i="15" s="1"/>
  <c r="BP42" i="15"/>
  <c r="BN42" i="15"/>
  <c r="BE42" i="15"/>
  <c r="BC42" i="15"/>
  <c r="CA48" i="15"/>
  <c r="AB39" i="15"/>
  <c r="AC39" i="15"/>
  <c r="AE39" i="15"/>
  <c r="AN30" i="15"/>
  <c r="BZ25" i="15"/>
  <c r="O25" i="15" s="1"/>
  <c r="AJ32" i="15"/>
  <c r="CB27" i="15"/>
  <c r="AG27" i="15"/>
  <c r="CE27" i="15"/>
  <c r="CD27" i="15"/>
  <c r="AJ27" i="15"/>
  <c r="BV27" i="15"/>
  <c r="AX27" i="15"/>
  <c r="AL27" i="15"/>
  <c r="AK27" i="15" s="1"/>
  <c r="BU27" i="15"/>
  <c r="BS27" i="15"/>
  <c r="BT27" i="15" s="1"/>
  <c r="M27" i="15" s="1"/>
  <c r="CJ27" i="15"/>
  <c r="CA27" i="15"/>
  <c r="AD27" i="15"/>
  <c r="AI52" i="15"/>
  <c r="F52" i="15" s="1"/>
  <c r="BI11" i="15"/>
  <c r="BU36" i="15"/>
  <c r="BC54" i="15"/>
  <c r="BE54" i="15"/>
  <c r="BI24" i="15"/>
  <c r="BG24" i="15"/>
  <c r="BH24" i="15"/>
  <c r="BL24" i="15"/>
  <c r="BK24" i="15" s="1"/>
  <c r="AU46" i="15"/>
  <c r="AT46" i="15"/>
  <c r="AW46" i="15"/>
  <c r="AV46" i="15"/>
  <c r="AO46" i="15"/>
  <c r="AS46" i="15"/>
  <c r="AR46" i="15"/>
  <c r="AP46" i="15"/>
  <c r="AQ46" i="15"/>
  <c r="BN56" i="15"/>
  <c r="BQ56" i="15" s="1"/>
  <c r="L56" i="15" s="1"/>
  <c r="AX43" i="15"/>
  <c r="CJ43" i="15"/>
  <c r="BA43" i="15"/>
  <c r="BB43" i="15" s="1"/>
  <c r="I43" i="15" s="1"/>
  <c r="CD43" i="15"/>
  <c r="CB43" i="15"/>
  <c r="CA43" i="15"/>
  <c r="BU43" i="15"/>
  <c r="BS43" i="15"/>
  <c r="AD43" i="15"/>
  <c r="AL43" i="15"/>
  <c r="AK43" i="15" s="1"/>
  <c r="AM43" i="15" s="1"/>
  <c r="G43" i="15" s="1"/>
  <c r="BY43" i="15"/>
  <c r="BJ43" i="15"/>
  <c r="BN8" i="15"/>
  <c r="BP8" i="15"/>
  <c r="CK16" i="15"/>
  <c r="BL17" i="15"/>
  <c r="BK17" i="15" s="1"/>
  <c r="BI17" i="15"/>
  <c r="BG17" i="15"/>
  <c r="BH17" i="15"/>
  <c r="CI42" i="15"/>
  <c r="CH42" i="15"/>
  <c r="CG42" i="15"/>
  <c r="BL42" i="15"/>
  <c r="BK42" i="15" s="1"/>
  <c r="BI42" i="15"/>
  <c r="CF10" i="15"/>
  <c r="Q10" i="15" s="1"/>
  <c r="AB38" i="15"/>
  <c r="AC38" i="15"/>
  <c r="AE38" i="15"/>
  <c r="BE26" i="15"/>
  <c r="BC26" i="15"/>
  <c r="BT26" i="15"/>
  <c r="M26" i="15" s="1"/>
  <c r="CF56" i="15"/>
  <c r="Q56" i="15" s="1"/>
  <c r="CE23" i="15"/>
  <c r="CA23" i="15"/>
  <c r="CD23" i="15"/>
  <c r="AJ23" i="15"/>
  <c r="CB23" i="15"/>
  <c r="M23" i="15"/>
  <c r="AG23" i="15"/>
  <c r="N23" i="15"/>
  <c r="AH23" i="15"/>
  <c r="BY23" i="15"/>
  <c r="BX23" i="15"/>
  <c r="BZ23" i="15" s="1"/>
  <c r="O23" i="15" s="1"/>
  <c r="K23" i="15"/>
  <c r="BS23" i="15"/>
  <c r="BR23" i="15"/>
  <c r="AD23" i="15"/>
  <c r="BO23" i="15"/>
  <c r="BJ23" i="15"/>
  <c r="AX23" i="15"/>
  <c r="BA23" i="15"/>
  <c r="BB23" i="15" s="1"/>
  <c r="I23" i="15" s="1"/>
  <c r="CJ23" i="15"/>
  <c r="BW30" i="15"/>
  <c r="N30" i="15" s="1"/>
  <c r="CG52" i="15"/>
  <c r="CI52" i="15"/>
  <c r="CH52" i="15"/>
  <c r="CK52" i="15"/>
  <c r="AI17" i="15"/>
  <c r="F17" i="15" s="1"/>
  <c r="BZ54" i="15"/>
  <c r="O54" i="15" s="1"/>
  <c r="BJ15" i="15"/>
  <c r="BX15" i="15"/>
  <c r="BR15" i="15"/>
  <c r="CD15" i="15"/>
  <c r="BA15" i="15"/>
  <c r="BB15" i="15" s="1"/>
  <c r="I15" i="15" s="1"/>
  <c r="AG15" i="15"/>
  <c r="BT46" i="15"/>
  <c r="M46" i="15" s="1"/>
  <c r="CE15" i="15"/>
  <c r="CK10" i="15"/>
  <c r="CI10" i="15"/>
  <c r="CH10" i="15"/>
  <c r="AV10" i="15"/>
  <c r="AW10" i="15"/>
  <c r="AT10" i="15"/>
  <c r="AS10" i="15"/>
  <c r="AU10" i="15"/>
  <c r="AR10" i="15"/>
  <c r="AQ10" i="15"/>
  <c r="AP10" i="15"/>
  <c r="AO10" i="15"/>
  <c r="AN10" i="15"/>
  <c r="AY10" i="15"/>
  <c r="BG38" i="15"/>
  <c r="BI38" i="15"/>
  <c r="BH38" i="15"/>
  <c r="AM35" i="15"/>
  <c r="G35" i="15" s="1"/>
  <c r="BZ26" i="15"/>
  <c r="O26" i="15" s="1"/>
  <c r="AI26" i="15"/>
  <c r="F26" i="15" s="1"/>
  <c r="BX39" i="15"/>
  <c r="AX39" i="15"/>
  <c r="AG39" i="15"/>
  <c r="BA39" i="15"/>
  <c r="BB39" i="15" s="1"/>
  <c r="I39" i="15" s="1"/>
  <c r="CJ39" i="15"/>
  <c r="BS39" i="15"/>
  <c r="AH39" i="15"/>
  <c r="BR39" i="15"/>
  <c r="AJ39" i="15"/>
  <c r="CA39" i="15"/>
  <c r="BY39" i="15"/>
  <c r="BO39" i="15"/>
  <c r="CD39" i="15"/>
  <c r="AM25" i="15"/>
  <c r="G25" i="15" s="1"/>
  <c r="BL52" i="15"/>
  <c r="BK52" i="15" s="1"/>
  <c r="BH52" i="15"/>
  <c r="BN10" i="15"/>
  <c r="BP10" i="15"/>
  <c r="AS25" i="15"/>
  <c r="AP25" i="15"/>
  <c r="AT25" i="15"/>
  <c r="AY25" i="15"/>
  <c r="AV25" i="15"/>
  <c r="AU25" i="15"/>
  <c r="AW25" i="15"/>
  <c r="AQ25" i="15"/>
  <c r="AO25" i="15"/>
  <c r="AN25" i="15"/>
  <c r="AM26" i="15"/>
  <c r="G26" i="15" s="1"/>
  <c r="BE34" i="15"/>
  <c r="BC34" i="15"/>
  <c r="BA53" i="15"/>
  <c r="BB53" i="15" s="1"/>
  <c r="I53" i="15" s="1"/>
  <c r="BS53" i="15"/>
  <c r="AD53" i="15"/>
  <c r="CJ53" i="15"/>
  <c r="AH53" i="15"/>
  <c r="CE53" i="15"/>
  <c r="BU53" i="15"/>
  <c r="BO53" i="15"/>
  <c r="AJ53" i="15"/>
  <c r="AG53" i="15"/>
  <c r="CB39" i="15"/>
  <c r="AL23" i="15"/>
  <c r="AK23" i="15" s="1"/>
  <c r="CF38" i="15"/>
  <c r="Q38" i="15" s="1"/>
  <c r="BT25" i="15"/>
  <c r="M25" i="15" s="1"/>
  <c r="CJ7" i="15"/>
  <c r="BS7" i="15"/>
  <c r="CB7" i="15"/>
  <c r="AJ7" i="15"/>
  <c r="CA7" i="15"/>
  <c r="BY7" i="15"/>
  <c r="AX7" i="15"/>
  <c r="BX7" i="15"/>
  <c r="BR7" i="15"/>
  <c r="BO7" i="15"/>
  <c r="BJ7" i="15"/>
  <c r="AG7" i="15"/>
  <c r="BA7" i="15"/>
  <c r="BB7" i="15" s="1"/>
  <c r="I7" i="15" s="1"/>
  <c r="CE7" i="15"/>
  <c r="AH7" i="15"/>
  <c r="AD7" i="15"/>
  <c r="CD7" i="15"/>
  <c r="AL7" i="15"/>
  <c r="AK7" i="15" s="1"/>
  <c r="CI22" i="15"/>
  <c r="CG22" i="15"/>
  <c r="CK22" i="15"/>
  <c r="BN52" i="15"/>
  <c r="BP52" i="15"/>
  <c r="BN25" i="15"/>
  <c r="BP25" i="15"/>
  <c r="CF24" i="15"/>
  <c r="Q24" i="15" s="1"/>
  <c r="BO15" i="15"/>
  <c r="BG34" i="15"/>
  <c r="BI34" i="15"/>
  <c r="BH34" i="15"/>
  <c r="BL34" i="15"/>
  <c r="BK34" i="15" s="1"/>
  <c r="CC25" i="15"/>
  <c r="P25" i="15" s="1"/>
  <c r="AE22" i="15"/>
  <c r="AC22" i="15"/>
  <c r="AB22" i="15"/>
  <c r="AP11" i="15"/>
  <c r="AV11" i="15"/>
  <c r="AW11" i="15"/>
  <c r="AR11" i="15"/>
  <c r="AQ11" i="15"/>
  <c r="CF25" i="15"/>
  <c r="Q25" i="15" s="1"/>
  <c r="AV24" i="15"/>
  <c r="AP24" i="15"/>
  <c r="AN24" i="15"/>
  <c r="AO24" i="15"/>
  <c r="AU24" i="15"/>
  <c r="AT24" i="15"/>
  <c r="AS24" i="15"/>
  <c r="AR24" i="15"/>
  <c r="AQ24" i="15"/>
  <c r="AW24" i="15"/>
  <c r="CK46" i="15"/>
  <c r="CI46" i="15"/>
  <c r="BW8" i="15"/>
  <c r="N8" i="15" s="1"/>
  <c r="BL8" i="15"/>
  <c r="BK8" i="15" s="1"/>
  <c r="BI8" i="15"/>
  <c r="BH8" i="15"/>
  <c r="BG8" i="15"/>
  <c r="AC34" i="15"/>
  <c r="AB34" i="15"/>
  <c r="AP22" i="15"/>
  <c r="AS22" i="15"/>
  <c r="AR22" i="15"/>
  <c r="AU22" i="15"/>
  <c r="AT22" i="15"/>
  <c r="AV22" i="15"/>
  <c r="AE42" i="15"/>
  <c r="AC42" i="15"/>
  <c r="AB42" i="15"/>
  <c r="CF42" i="15"/>
  <c r="Q42" i="15" s="1"/>
  <c r="BT10" i="15"/>
  <c r="M10" i="15" s="1"/>
  <c r="BZ38" i="15"/>
  <c r="O38" i="15" s="1"/>
  <c r="CF8" i="15"/>
  <c r="Q8" i="15" s="1"/>
  <c r="BZ34" i="15"/>
  <c r="O34" i="15" s="1"/>
  <c r="AI30" i="15"/>
  <c r="F30" i="15" s="1"/>
  <c r="BJ16" i="15"/>
  <c r="AX16" i="15"/>
  <c r="CE16" i="15"/>
  <c r="CD16" i="15"/>
  <c r="BY16" i="15"/>
  <c r="BO16" i="15"/>
  <c r="AD16" i="15"/>
  <c r="AL16" i="15"/>
  <c r="AK16" i="15" s="1"/>
  <c r="CB16" i="15"/>
  <c r="BX16" i="15"/>
  <c r="BR18" i="15"/>
  <c r="AX18" i="15"/>
  <c r="CD18" i="15"/>
  <c r="CA18" i="15"/>
  <c r="CC18" i="15" s="1"/>
  <c r="P18" i="15" s="1"/>
  <c r="CJ18" i="15"/>
  <c r="CE18" i="15"/>
  <c r="BT52" i="15"/>
  <c r="M52" i="15" s="1"/>
  <c r="BO21" i="15"/>
  <c r="AX21" i="15"/>
  <c r="BU18" i="15"/>
  <c r="CD21" i="15"/>
  <c r="CJ21" i="15"/>
  <c r="CE41" i="15"/>
  <c r="K41" i="15"/>
  <c r="BR41" i="15"/>
  <c r="BZ17" i="15"/>
  <c r="O17" i="15" s="1"/>
  <c r="BL25" i="15"/>
  <c r="BK25" i="15" s="1"/>
  <c r="BI25" i="15"/>
  <c r="CC10" i="15"/>
  <c r="P10" i="15" s="1"/>
  <c r="BC10" i="15"/>
  <c r="BE10" i="15"/>
  <c r="BZ35" i="15"/>
  <c r="O35" i="15" s="1"/>
  <c r="AW52" i="15"/>
  <c r="AV52" i="15"/>
  <c r="AT52" i="15"/>
  <c r="AR52" i="15"/>
  <c r="AN52" i="15"/>
  <c r="AO52" i="15"/>
  <c r="AY52" i="15"/>
  <c r="AU52" i="15"/>
  <c r="AP52" i="15"/>
  <c r="BT11" i="15"/>
  <c r="M11" i="15" s="1"/>
  <c r="BI46" i="15"/>
  <c r="BL46" i="15"/>
  <c r="BK46" i="15" s="1"/>
  <c r="BH46" i="15"/>
  <c r="AB46" i="15"/>
  <c r="AE46" i="15"/>
  <c r="AC46" i="15"/>
  <c r="AV38" i="15"/>
  <c r="AU38" i="15"/>
  <c r="AQ38" i="15"/>
  <c r="AO38" i="15"/>
  <c r="AN38" i="15"/>
  <c r="AC26" i="15"/>
  <c r="AE26" i="15"/>
  <c r="AB26" i="15"/>
  <c r="BL26" i="15"/>
  <c r="BK26" i="15" s="1"/>
  <c r="BI26" i="15"/>
  <c r="BH26" i="15"/>
  <c r="BG26" i="15"/>
  <c r="AP8" i="15"/>
  <c r="AQ8" i="15"/>
  <c r="AN8" i="15"/>
  <c r="AR8" i="15"/>
  <c r="AU8" i="15"/>
  <c r="AW8" i="15"/>
  <c r="AV8" i="15"/>
  <c r="AT8" i="15"/>
  <c r="AO8" i="15"/>
  <c r="AS8" i="15"/>
  <c r="CI8" i="15"/>
  <c r="CH8" i="15"/>
  <c r="CG8" i="15"/>
  <c r="Y318" i="18" l="1"/>
  <c r="Y281" i="18"/>
  <c r="Y27" i="18"/>
  <c r="Y66" i="18"/>
  <c r="Y243" i="18"/>
  <c r="Y207" i="18"/>
  <c r="Y100" i="18"/>
  <c r="Y99" i="18"/>
  <c r="Z210" i="18"/>
  <c r="Y214" i="18"/>
  <c r="Z321" i="18"/>
  <c r="Y67" i="18"/>
  <c r="Z33" i="18"/>
  <c r="Y209" i="18"/>
  <c r="Z316" i="18"/>
  <c r="Y352" i="18"/>
  <c r="Y322" i="18"/>
  <c r="Z102" i="18"/>
  <c r="Z138" i="18"/>
  <c r="Z141" i="18"/>
  <c r="Z319" i="18"/>
  <c r="Z136" i="18"/>
  <c r="X106" i="18"/>
  <c r="Z103" i="18"/>
  <c r="Z101" i="18"/>
  <c r="Z315" i="18"/>
  <c r="Z105" i="18"/>
  <c r="R23" i="18"/>
  <c r="R24" i="18" s="1"/>
  <c r="AA18" i="18" s="1"/>
  <c r="Z99" i="18"/>
  <c r="X322" i="18"/>
  <c r="Y351" i="18"/>
  <c r="Y30" i="18"/>
  <c r="Y106" i="18"/>
  <c r="Z317" i="18"/>
  <c r="Z104" i="18"/>
  <c r="Y280" i="18"/>
  <c r="AF27" i="18"/>
  <c r="Y171" i="18"/>
  <c r="Y315" i="18"/>
  <c r="Y142" i="18"/>
  <c r="Z27" i="18"/>
  <c r="Z28" i="18"/>
  <c r="Z212" i="18"/>
  <c r="Y282" i="18"/>
  <c r="R347" i="18"/>
  <c r="W348" i="18" s="1"/>
  <c r="R22" i="18"/>
  <c r="W18" i="18" s="1"/>
  <c r="AR34" i="18"/>
  <c r="AF34" i="18" s="1"/>
  <c r="X34" i="18"/>
  <c r="Y34" i="18"/>
  <c r="Y279" i="18"/>
  <c r="Z29" i="18"/>
  <c r="Z171" i="18"/>
  <c r="Y174" i="18"/>
  <c r="X214" i="18"/>
  <c r="Y354" i="18"/>
  <c r="Y316" i="18"/>
  <c r="Z209" i="18"/>
  <c r="Y64" i="18"/>
  <c r="Z213" i="18"/>
  <c r="AR178" i="18"/>
  <c r="AF178" i="18" s="1"/>
  <c r="Z207" i="18"/>
  <c r="Y65" i="18"/>
  <c r="Z211" i="18"/>
  <c r="Y136" i="18"/>
  <c r="Z30" i="18"/>
  <c r="Z32" i="18"/>
  <c r="R130" i="18"/>
  <c r="W126" i="18" s="1"/>
  <c r="Y244" i="18"/>
  <c r="Y172" i="18"/>
  <c r="AR142" i="18"/>
  <c r="AF142" i="18" s="1"/>
  <c r="Y246" i="18"/>
  <c r="AQ358" i="18"/>
  <c r="AC358" i="18" s="1"/>
  <c r="Z137" i="18"/>
  <c r="R310" i="18"/>
  <c r="W306" i="18" s="1"/>
  <c r="R238" i="18"/>
  <c r="W234" i="18" s="1"/>
  <c r="AQ286" i="18"/>
  <c r="AC286" i="18" s="1"/>
  <c r="Y63" i="18"/>
  <c r="R275" i="18"/>
  <c r="R276" i="18" s="1"/>
  <c r="AA270" i="18" s="1"/>
  <c r="AR322" i="18"/>
  <c r="AF322" i="18" s="1"/>
  <c r="AC315" i="18"/>
  <c r="AQ322" i="18"/>
  <c r="AC322" i="18" s="1"/>
  <c r="Z318" i="18"/>
  <c r="Z284" i="18"/>
  <c r="Y283" i="18"/>
  <c r="AF315" i="18"/>
  <c r="R311" i="18"/>
  <c r="R166" i="18"/>
  <c r="W162" i="18" s="1"/>
  <c r="AQ34" i="18"/>
  <c r="Y286" i="18"/>
  <c r="R131" i="18"/>
  <c r="Y319" i="18"/>
  <c r="AA319" i="18"/>
  <c r="Y138" i="18"/>
  <c r="AQ142" i="18"/>
  <c r="AC142" i="18" s="1"/>
  <c r="Y135" i="18"/>
  <c r="Z281" i="18"/>
  <c r="Z139" i="18"/>
  <c r="Z135" i="18"/>
  <c r="Z140" i="18"/>
  <c r="Z356" i="18"/>
  <c r="Z354" i="18"/>
  <c r="Z352" i="18"/>
  <c r="Z357" i="18"/>
  <c r="AD358" i="18"/>
  <c r="R346" i="18"/>
  <c r="W342" i="18" s="1"/>
  <c r="Y358" i="18"/>
  <c r="Z351" i="18"/>
  <c r="X358" i="18"/>
  <c r="Z355" i="18"/>
  <c r="Z353" i="18"/>
  <c r="Y353" i="18"/>
  <c r="AF353" i="18"/>
  <c r="AR358" i="18"/>
  <c r="AF358" i="18" s="1"/>
  <c r="X286" i="18"/>
  <c r="Z280" i="18"/>
  <c r="Z282" i="18"/>
  <c r="Z279" i="18"/>
  <c r="Z285" i="18"/>
  <c r="R274" i="18"/>
  <c r="W270" i="18" s="1"/>
  <c r="AR286" i="18"/>
  <c r="AF286" i="18" s="1"/>
  <c r="Y245" i="18"/>
  <c r="R239" i="18"/>
  <c r="AF244" i="18"/>
  <c r="AR250" i="18"/>
  <c r="AF250" i="18" s="1"/>
  <c r="Z247" i="18"/>
  <c r="Z245" i="18"/>
  <c r="Z249" i="18"/>
  <c r="Z243" i="18"/>
  <c r="AQ250" i="18"/>
  <c r="AC244" i="18"/>
  <c r="Z246" i="18"/>
  <c r="Z244" i="18"/>
  <c r="Z248" i="18"/>
  <c r="X250" i="18"/>
  <c r="Y210" i="18"/>
  <c r="AQ214" i="18"/>
  <c r="AC207" i="18"/>
  <c r="AF207" i="18"/>
  <c r="R203" i="18"/>
  <c r="AR214" i="18"/>
  <c r="AF214" i="18" s="1"/>
  <c r="R202" i="18"/>
  <c r="W198" i="18" s="1"/>
  <c r="X178" i="18"/>
  <c r="R167" i="18"/>
  <c r="Z177" i="18"/>
  <c r="Z175" i="18"/>
  <c r="Z173" i="18"/>
  <c r="Z174" i="18"/>
  <c r="Z176" i="18"/>
  <c r="Z172" i="18"/>
  <c r="AQ178" i="18"/>
  <c r="AC99" i="18"/>
  <c r="AQ106" i="18"/>
  <c r="R94" i="18"/>
  <c r="W90" i="18" s="1"/>
  <c r="AF99" i="18"/>
  <c r="R95" i="18"/>
  <c r="AR106" i="18"/>
  <c r="AF106" i="18" s="1"/>
  <c r="R58" i="18"/>
  <c r="W54" i="18" s="1"/>
  <c r="Z65" i="18"/>
  <c r="Y70" i="18"/>
  <c r="Z66" i="18"/>
  <c r="Z63" i="18"/>
  <c r="Z69" i="18"/>
  <c r="X70" i="18"/>
  <c r="Z67" i="18"/>
  <c r="Z68" i="18"/>
  <c r="Z64" i="18"/>
  <c r="AR70" i="18"/>
  <c r="AF70" i="18" s="1"/>
  <c r="AF63" i="18"/>
  <c r="R59" i="18"/>
  <c r="AQ70" i="18"/>
  <c r="AC70" i="18" s="1"/>
  <c r="AC64" i="18"/>
  <c r="AQ358" i="17"/>
  <c r="AC358" i="17" s="1"/>
  <c r="AD358" i="17"/>
  <c r="R346" i="17"/>
  <c r="W342" i="17" s="1"/>
  <c r="Y358" i="17"/>
  <c r="X358" i="17"/>
  <c r="Z354" i="17"/>
  <c r="Z352" i="17"/>
  <c r="Z356" i="17"/>
  <c r="Z353" i="17"/>
  <c r="Z357" i="17"/>
  <c r="Z355" i="17"/>
  <c r="Z351" i="17"/>
  <c r="AF351" i="17"/>
  <c r="AR358" i="17"/>
  <c r="AF358" i="17" s="1"/>
  <c r="R347" i="17"/>
  <c r="Z316" i="17"/>
  <c r="R310" i="17"/>
  <c r="W306" i="17" s="1"/>
  <c r="Y322" i="17"/>
  <c r="X322" i="17"/>
  <c r="Z318" i="17"/>
  <c r="Z320" i="17"/>
  <c r="Z319" i="17"/>
  <c r="Z317" i="17"/>
  <c r="Z315" i="17"/>
  <c r="Z321" i="17"/>
  <c r="AQ322" i="17"/>
  <c r="AC322" i="17" s="1"/>
  <c r="AC315" i="17"/>
  <c r="AR322" i="17"/>
  <c r="AF322" i="17" s="1"/>
  <c r="R311" i="17"/>
  <c r="AF315" i="17"/>
  <c r="AQ286" i="17"/>
  <c r="AC286" i="17" s="1"/>
  <c r="AC279" i="17"/>
  <c r="AF279" i="17"/>
  <c r="AR286" i="17"/>
  <c r="AF286" i="17" s="1"/>
  <c r="R275" i="17"/>
  <c r="AD286" i="17"/>
  <c r="Z282" i="17"/>
  <c r="R274" i="17"/>
  <c r="W270" i="17" s="1"/>
  <c r="Y286" i="17"/>
  <c r="X286" i="17"/>
  <c r="Z280" i="17"/>
  <c r="Z284" i="17"/>
  <c r="Z285" i="17"/>
  <c r="Z281" i="17"/>
  <c r="Z283" i="17"/>
  <c r="Z279" i="17"/>
  <c r="Z244" i="17"/>
  <c r="Z246" i="17"/>
  <c r="R238" i="17"/>
  <c r="W234" i="17" s="1"/>
  <c r="Y250" i="17"/>
  <c r="X250" i="17"/>
  <c r="Z248" i="17"/>
  <c r="Z245" i="17"/>
  <c r="Z247" i="17"/>
  <c r="Z249" i="17"/>
  <c r="Z243" i="17"/>
  <c r="AF243" i="17"/>
  <c r="R239" i="17"/>
  <c r="AR250" i="17"/>
  <c r="AF250" i="17" s="1"/>
  <c r="AQ250" i="17"/>
  <c r="AC250" i="17" s="1"/>
  <c r="AC243" i="17"/>
  <c r="AQ214" i="17"/>
  <c r="AC214" i="17" s="1"/>
  <c r="AC207" i="17"/>
  <c r="AF207" i="17"/>
  <c r="AR214" i="17"/>
  <c r="AF214" i="17" s="1"/>
  <c r="R203" i="17"/>
  <c r="AD214" i="17"/>
  <c r="Z208" i="17"/>
  <c r="R202" i="17"/>
  <c r="W198" i="17" s="1"/>
  <c r="Z210" i="17"/>
  <c r="Y214" i="17"/>
  <c r="X214" i="17"/>
  <c r="Z212" i="17"/>
  <c r="Z213" i="17"/>
  <c r="Z207" i="17"/>
  <c r="Z209" i="17"/>
  <c r="Z211" i="17"/>
  <c r="AQ178" i="17"/>
  <c r="AC178" i="17" s="1"/>
  <c r="AC171" i="17"/>
  <c r="AF171" i="17"/>
  <c r="R167" i="17"/>
  <c r="AR178" i="17"/>
  <c r="AF178" i="17" s="1"/>
  <c r="AD178" i="17"/>
  <c r="Z176" i="17"/>
  <c r="R166" i="17"/>
  <c r="W162" i="17" s="1"/>
  <c r="Y178" i="17"/>
  <c r="X178" i="17"/>
  <c r="Z172" i="17"/>
  <c r="Z174" i="17"/>
  <c r="Z173" i="17"/>
  <c r="Z171" i="17"/>
  <c r="Z175" i="17"/>
  <c r="Z177" i="17"/>
  <c r="AQ142" i="17"/>
  <c r="AC142" i="17" s="1"/>
  <c r="AC135" i="17"/>
  <c r="AR142" i="17"/>
  <c r="AF142" i="17" s="1"/>
  <c r="AF135" i="17"/>
  <c r="R131" i="17"/>
  <c r="AD142" i="17"/>
  <c r="R130" i="17"/>
  <c r="W126" i="17" s="1"/>
  <c r="Y142" i="17"/>
  <c r="X142" i="17"/>
  <c r="Z136" i="17"/>
  <c r="Z140" i="17"/>
  <c r="Z138" i="17"/>
  <c r="Z139" i="17"/>
  <c r="Z137" i="17"/>
  <c r="Z135" i="17"/>
  <c r="Z141" i="17"/>
  <c r="AC99" i="17"/>
  <c r="AQ106" i="17"/>
  <c r="AC106" i="17" s="1"/>
  <c r="AF99" i="17"/>
  <c r="R95" i="17"/>
  <c r="AR106" i="17"/>
  <c r="AF106" i="17" s="1"/>
  <c r="AD106" i="17"/>
  <c r="Z102" i="17"/>
  <c r="Z104" i="17"/>
  <c r="R94" i="17"/>
  <c r="W90" i="17" s="1"/>
  <c r="Y106" i="17"/>
  <c r="Z100" i="17"/>
  <c r="X106" i="17"/>
  <c r="Z105" i="17"/>
  <c r="Z101" i="17"/>
  <c r="Z99" i="17"/>
  <c r="Z103" i="17"/>
  <c r="AQ70" i="17"/>
  <c r="AC70" i="17" s="1"/>
  <c r="AC63" i="17"/>
  <c r="R59" i="17"/>
  <c r="AF63" i="17"/>
  <c r="AR70" i="17"/>
  <c r="AF70" i="17" s="1"/>
  <c r="AD70" i="17"/>
  <c r="R58" i="17"/>
  <c r="W54" i="17" s="1"/>
  <c r="Y70" i="17"/>
  <c r="X70" i="17"/>
  <c r="Z66" i="17"/>
  <c r="Z64" i="17"/>
  <c r="Z68" i="17"/>
  <c r="Z65" i="17"/>
  <c r="Z63" i="17"/>
  <c r="Z69" i="17"/>
  <c r="Z67" i="17"/>
  <c r="R22" i="17"/>
  <c r="W18" i="17" s="1"/>
  <c r="Z28" i="17"/>
  <c r="Y34" i="17"/>
  <c r="X34" i="17"/>
  <c r="Z32" i="17"/>
  <c r="Z30" i="17"/>
  <c r="Z33" i="17"/>
  <c r="Z27" i="17"/>
  <c r="Z31" i="17"/>
  <c r="Z29" i="17"/>
  <c r="R23" i="17"/>
  <c r="AR34" i="17"/>
  <c r="AF34" i="17" s="1"/>
  <c r="AF27" i="17"/>
  <c r="AC27" i="17"/>
  <c r="AQ34" i="17"/>
  <c r="AC34" i="17" s="1"/>
  <c r="Y30" i="5"/>
  <c r="AR34" i="5"/>
  <c r="AF34" i="5" s="1"/>
  <c r="AF27" i="5"/>
  <c r="X34" i="5"/>
  <c r="Z30" i="5"/>
  <c r="Z31" i="5"/>
  <c r="Y34" i="5"/>
  <c r="Z33" i="5"/>
  <c r="Z32" i="5"/>
  <c r="Z27" i="5"/>
  <c r="Z29" i="5"/>
  <c r="Z28" i="5"/>
  <c r="AC27" i="5"/>
  <c r="AQ34" i="5"/>
  <c r="AC34" i="5" s="1"/>
  <c r="AI14" i="15"/>
  <c r="F14" i="15" s="1"/>
  <c r="BG50" i="15"/>
  <c r="BL50" i="15"/>
  <c r="BK50" i="15" s="1"/>
  <c r="BH50" i="15"/>
  <c r="AI15" i="15"/>
  <c r="F15" i="15" s="1"/>
  <c r="BT13" i="15"/>
  <c r="M13" i="15" s="1"/>
  <c r="AI41" i="15"/>
  <c r="F41" i="15" s="1"/>
  <c r="BG41" i="15"/>
  <c r="BI12" i="15"/>
  <c r="BZ18" i="15"/>
  <c r="O18" i="15" s="1"/>
  <c r="CC12" i="15"/>
  <c r="P12" i="15" s="1"/>
  <c r="CC33" i="15"/>
  <c r="P33" i="15" s="1"/>
  <c r="AU13" i="15"/>
  <c r="AW13" i="15"/>
  <c r="AY13" i="15"/>
  <c r="AR13" i="15"/>
  <c r="AV41" i="15"/>
  <c r="BW23" i="15"/>
  <c r="AN13" i="15"/>
  <c r="AO13" i="15"/>
  <c r="BL13" i="15"/>
  <c r="BK13" i="15" s="1"/>
  <c r="AW15" i="15"/>
  <c r="BI13" i="15"/>
  <c r="CC49" i="15"/>
  <c r="P49" i="15" s="1"/>
  <c r="BT43" i="15"/>
  <c r="M43" i="15" s="1"/>
  <c r="BC7" i="15"/>
  <c r="BF7" i="15" s="1"/>
  <c r="J7" i="15" s="1"/>
  <c r="BH13" i="15"/>
  <c r="CG15" i="15"/>
  <c r="AQ12" i="15"/>
  <c r="BW14" i="15"/>
  <c r="N14" i="15" s="1"/>
  <c r="AM41" i="15"/>
  <c r="G41" i="15" s="1"/>
  <c r="BW20" i="15"/>
  <c r="AE12" i="15"/>
  <c r="AY15" i="15"/>
  <c r="AV15" i="15"/>
  <c r="BE15" i="15"/>
  <c r="BF15" i="15" s="1"/>
  <c r="J15" i="15" s="1"/>
  <c r="CC13" i="15"/>
  <c r="P13" i="15" s="1"/>
  <c r="AI16" i="15"/>
  <c r="F16" i="15" s="1"/>
  <c r="CH16" i="15"/>
  <c r="BC49" i="15"/>
  <c r="BW18" i="15"/>
  <c r="N18" i="15" s="1"/>
  <c r="BL29" i="15"/>
  <c r="BK29" i="15" s="1"/>
  <c r="BH29" i="15"/>
  <c r="CG49" i="15"/>
  <c r="BZ39" i="15"/>
  <c r="O39" i="15" s="1"/>
  <c r="AM20" i="15"/>
  <c r="BI29" i="15"/>
  <c r="CH49" i="15"/>
  <c r="AR41" i="15"/>
  <c r="CI49" i="15"/>
  <c r="CK15" i="15"/>
  <c r="AM18" i="15"/>
  <c r="G18" i="15" s="1"/>
  <c r="AM49" i="15"/>
  <c r="G49" i="15" s="1"/>
  <c r="CG29" i="15"/>
  <c r="BZ15" i="15"/>
  <c r="O15" i="15" s="1"/>
  <c r="AC12" i="15"/>
  <c r="CG41" i="15"/>
  <c r="CH15" i="15"/>
  <c r="AI50" i="15"/>
  <c r="F50" i="15" s="1"/>
  <c r="BZ29" i="15"/>
  <c r="O29" i="15" s="1"/>
  <c r="CF50" i="15"/>
  <c r="Q50" i="15" s="1"/>
  <c r="CC55" i="15"/>
  <c r="P55" i="15" s="1"/>
  <c r="AN15" i="15"/>
  <c r="BT15" i="15"/>
  <c r="M15" i="15" s="1"/>
  <c r="AC18" i="15"/>
  <c r="CK29" i="15"/>
  <c r="CC15" i="15"/>
  <c r="P15" i="15" s="1"/>
  <c r="CK13" i="15"/>
  <c r="CF29" i="15"/>
  <c r="Q29" i="15" s="1"/>
  <c r="CF53" i="15"/>
  <c r="Q53" i="15" s="1"/>
  <c r="CG13" i="15"/>
  <c r="BM56" i="15"/>
  <c r="CH13" i="15"/>
  <c r="BZ37" i="15"/>
  <c r="O37" i="15" s="1"/>
  <c r="BH53" i="15"/>
  <c r="BE50" i="15"/>
  <c r="AS12" i="15"/>
  <c r="AQ41" i="15"/>
  <c r="AI27" i="15"/>
  <c r="F27" i="15" s="1"/>
  <c r="CF20" i="15"/>
  <c r="Q20" i="15" s="1"/>
  <c r="AU15" i="15"/>
  <c r="BI27" i="15"/>
  <c r="BH36" i="15"/>
  <c r="BZ21" i="15"/>
  <c r="O21" i="15" s="1"/>
  <c r="AB15" i="15"/>
  <c r="AC15" i="15"/>
  <c r="BM11" i="15"/>
  <c r="K11" i="15" s="1"/>
  <c r="AU53" i="15"/>
  <c r="AV12" i="15"/>
  <c r="AM37" i="15"/>
  <c r="G37" i="15" s="1"/>
  <c r="AI18" i="15"/>
  <c r="F18" i="15" s="1"/>
  <c r="AY53" i="15"/>
  <c r="BE16" i="15"/>
  <c r="AY12" i="15"/>
  <c r="CF13" i="15"/>
  <c r="Q13" i="15" s="1"/>
  <c r="CI29" i="15"/>
  <c r="AU12" i="15"/>
  <c r="CK32" i="15"/>
  <c r="BW43" i="15"/>
  <c r="N43" i="15" s="1"/>
  <c r="BZ28" i="15"/>
  <c r="O28" i="15" s="1"/>
  <c r="AO12" i="15"/>
  <c r="AP12" i="15"/>
  <c r="BZ12" i="15"/>
  <c r="O12" i="15" s="1"/>
  <c r="AR53" i="15"/>
  <c r="AS53" i="15"/>
  <c r="AI43" i="15"/>
  <c r="F43" i="15" s="1"/>
  <c r="AI13" i="15"/>
  <c r="F13" i="15" s="1"/>
  <c r="BT41" i="15"/>
  <c r="M41" i="15" s="1"/>
  <c r="CC7" i="15"/>
  <c r="P7" i="15" s="1"/>
  <c r="AT15" i="15"/>
  <c r="AS15" i="15"/>
  <c r="AO15" i="15"/>
  <c r="AP15" i="15"/>
  <c r="AR15" i="15"/>
  <c r="BI36" i="15"/>
  <c r="AE15" i="15"/>
  <c r="BZ16" i="15"/>
  <c r="O16" i="15" s="1"/>
  <c r="BF42" i="15"/>
  <c r="J42" i="15" s="1"/>
  <c r="BG53" i="15"/>
  <c r="AM47" i="15"/>
  <c r="G47" i="15" s="1"/>
  <c r="BW21" i="15"/>
  <c r="N21" i="15" s="1"/>
  <c r="BC29" i="15"/>
  <c r="BF29" i="15" s="1"/>
  <c r="J29" i="15" s="1"/>
  <c r="AI29" i="15"/>
  <c r="F29" i="15" s="1"/>
  <c r="AR50" i="15"/>
  <c r="AP50" i="15"/>
  <c r="BZ7" i="15"/>
  <c r="O7" i="15" s="1"/>
  <c r="AM32" i="15"/>
  <c r="G32" i="15" s="1"/>
  <c r="BN49" i="15"/>
  <c r="BQ49" i="15" s="1"/>
  <c r="L49" i="15" s="1"/>
  <c r="BZ41" i="15"/>
  <c r="O41" i="15" s="1"/>
  <c r="AV50" i="15"/>
  <c r="BZ43" i="15"/>
  <c r="O43" i="15" s="1"/>
  <c r="BZ47" i="15"/>
  <c r="O47" i="15" s="1"/>
  <c r="AN50" i="15"/>
  <c r="CL10" i="15"/>
  <c r="R10" i="15" s="1"/>
  <c r="BW19" i="15"/>
  <c r="AB50" i="15"/>
  <c r="AS44" i="15"/>
  <c r="BG27" i="15"/>
  <c r="AI33" i="15"/>
  <c r="F33" i="15" s="1"/>
  <c r="BZ27" i="15"/>
  <c r="O27" i="15" s="1"/>
  <c r="AU50" i="15"/>
  <c r="BT53" i="15"/>
  <c r="M53" i="15" s="1"/>
  <c r="AU44" i="15"/>
  <c r="AE50" i="15"/>
  <c r="BH27" i="15"/>
  <c r="CF45" i="15"/>
  <c r="Q45" i="15" s="1"/>
  <c r="BZ19" i="15"/>
  <c r="O19" i="15" s="1"/>
  <c r="CC44" i="15"/>
  <c r="P44" i="15" s="1"/>
  <c r="AI12" i="15"/>
  <c r="F12" i="15" s="1"/>
  <c r="AN44" i="15"/>
  <c r="BL36" i="15"/>
  <c r="BK36" i="15" s="1"/>
  <c r="BW13" i="15"/>
  <c r="N13" i="15" s="1"/>
  <c r="AM15" i="15"/>
  <c r="G15" i="15" s="1"/>
  <c r="AM53" i="15"/>
  <c r="G53" i="15" s="1"/>
  <c r="AS50" i="15"/>
  <c r="BZ50" i="15"/>
  <c r="O50" i="15" s="1"/>
  <c r="AQ13" i="15"/>
  <c r="AO44" i="15"/>
  <c r="BC18" i="15"/>
  <c r="BF18" i="15" s="1"/>
  <c r="J18" i="15" s="1"/>
  <c r="CF49" i="15"/>
  <c r="Q49" i="15" s="1"/>
  <c r="AS13" i="15"/>
  <c r="AB13" i="15"/>
  <c r="CF36" i="15"/>
  <c r="Q36" i="15" s="1"/>
  <c r="BN27" i="15"/>
  <c r="BQ27" i="15" s="1"/>
  <c r="L27" i="15" s="1"/>
  <c r="AN53" i="15"/>
  <c r="AW44" i="15"/>
  <c r="CG50" i="15"/>
  <c r="BW50" i="15"/>
  <c r="N50" i="15" s="1"/>
  <c r="AP13" i="15"/>
  <c r="AC13" i="15"/>
  <c r="AP53" i="15"/>
  <c r="BP18" i="15"/>
  <c r="AT13" i="15"/>
  <c r="CF43" i="15"/>
  <c r="Q43" i="15" s="1"/>
  <c r="BL53" i="15"/>
  <c r="BK53" i="15" s="1"/>
  <c r="AI31" i="15"/>
  <c r="F31" i="15" s="1"/>
  <c r="CG16" i="15"/>
  <c r="CL16" i="15" s="1"/>
  <c r="R16" i="15" s="1"/>
  <c r="BN41" i="15"/>
  <c r="BQ41" i="15" s="1"/>
  <c r="L41" i="15" s="1"/>
  <c r="BT23" i="15"/>
  <c r="BF26" i="15"/>
  <c r="J26" i="15" s="1"/>
  <c r="BQ42" i="15"/>
  <c r="L42" i="15" s="1"/>
  <c r="CF31" i="15"/>
  <c r="Q31" i="15" s="1"/>
  <c r="AF11" i="15"/>
  <c r="E11" i="15" s="1"/>
  <c r="BE43" i="15"/>
  <c r="BC43" i="15"/>
  <c r="AF22" i="15"/>
  <c r="E22" i="15" s="1"/>
  <c r="AF52" i="15"/>
  <c r="E52" i="15" s="1"/>
  <c r="BT33" i="15"/>
  <c r="M33" i="15" s="1"/>
  <c r="AP41" i="15"/>
  <c r="BH41" i="15"/>
  <c r="AY41" i="15"/>
  <c r="BP43" i="15"/>
  <c r="BQ43" i="15" s="1"/>
  <c r="L43" i="15" s="1"/>
  <c r="BT21" i="15"/>
  <c r="M21" i="15" s="1"/>
  <c r="BM46" i="15"/>
  <c r="K46" i="15" s="1"/>
  <c r="CF7" i="15"/>
  <c r="Q7" i="15" s="1"/>
  <c r="BT36" i="15"/>
  <c r="M36" i="15" s="1"/>
  <c r="AU41" i="15"/>
  <c r="AM29" i="15"/>
  <c r="G29" i="15" s="1"/>
  <c r="CC29" i="15"/>
  <c r="P29" i="15" s="1"/>
  <c r="BT18" i="15"/>
  <c r="M18" i="15" s="1"/>
  <c r="AS41" i="15"/>
  <c r="CK41" i="15"/>
  <c r="BI41" i="15"/>
  <c r="AW41" i="15"/>
  <c r="BT29" i="15"/>
  <c r="M29" i="15" s="1"/>
  <c r="CC48" i="15"/>
  <c r="P48" i="15" s="1"/>
  <c r="AO41" i="15"/>
  <c r="AM55" i="15"/>
  <c r="G55" i="15" s="1"/>
  <c r="AN41" i="15"/>
  <c r="CF15" i="15"/>
  <c r="Q15" i="15" s="1"/>
  <c r="CG32" i="15"/>
  <c r="BT55" i="15"/>
  <c r="M55" i="15" s="1"/>
  <c r="CF41" i="15"/>
  <c r="Q41" i="15" s="1"/>
  <c r="CH32" i="15"/>
  <c r="BT37" i="15"/>
  <c r="M37" i="15" s="1"/>
  <c r="BW48" i="15"/>
  <c r="N48" i="15" s="1"/>
  <c r="CC41" i="15"/>
  <c r="P41" i="15" s="1"/>
  <c r="AB18" i="15"/>
  <c r="AM9" i="15"/>
  <c r="G9" i="15" s="1"/>
  <c r="BW40" i="15"/>
  <c r="N40" i="15" s="1"/>
  <c r="BW49" i="15"/>
  <c r="N49" i="15" s="1"/>
  <c r="BM35" i="15"/>
  <c r="K35" i="15" s="1"/>
  <c r="BN13" i="15"/>
  <c r="BQ13" i="15" s="1"/>
  <c r="L13" i="15" s="1"/>
  <c r="CC16" i="15"/>
  <c r="P16" i="15" s="1"/>
  <c r="AI44" i="15"/>
  <c r="F44" i="15" s="1"/>
  <c r="BW28" i="15"/>
  <c r="N28" i="15" s="1"/>
  <c r="AI40" i="15"/>
  <c r="F40" i="15" s="1"/>
  <c r="AB9" i="15"/>
  <c r="BI39" i="15"/>
  <c r="BZ44" i="15"/>
  <c r="O44" i="15" s="1"/>
  <c r="BM42" i="15"/>
  <c r="K42" i="15" s="1"/>
  <c r="BT44" i="15"/>
  <c r="M44" i="15" s="1"/>
  <c r="AE9" i="15"/>
  <c r="AO50" i="15"/>
  <c r="AT50" i="15"/>
  <c r="AY50" i="15"/>
  <c r="CF21" i="15"/>
  <c r="Q21" i="15" s="1"/>
  <c r="BQ22" i="15"/>
  <c r="L22" i="15" s="1"/>
  <c r="BP33" i="15"/>
  <c r="BE13" i="15"/>
  <c r="BC13" i="15"/>
  <c r="BZ13" i="15"/>
  <c r="O13" i="15" s="1"/>
  <c r="BH18" i="15"/>
  <c r="BM8" i="15"/>
  <c r="K8" i="15" s="1"/>
  <c r="CL56" i="15"/>
  <c r="R56" i="15" s="1"/>
  <c r="BW45" i="15"/>
  <c r="N45" i="15" s="1"/>
  <c r="CI50" i="15"/>
  <c r="CK50" i="15"/>
  <c r="AM28" i="15"/>
  <c r="G28" i="15" s="1"/>
  <c r="BW16" i="15"/>
  <c r="N16" i="15" s="1"/>
  <c r="BL12" i="15"/>
  <c r="BK12" i="15" s="1"/>
  <c r="BG12" i="15"/>
  <c r="BT7" i="15"/>
  <c r="M7" i="15" s="1"/>
  <c r="BW32" i="15"/>
  <c r="N32" i="15" s="1"/>
  <c r="AN12" i="15"/>
  <c r="BN50" i="15"/>
  <c r="BP50" i="15"/>
  <c r="BW53" i="15"/>
  <c r="N53" i="15" s="1"/>
  <c r="BG39" i="15"/>
  <c r="AI47" i="15"/>
  <c r="F47" i="15" s="1"/>
  <c r="AR12" i="15"/>
  <c r="BT50" i="15"/>
  <c r="M50" i="15" s="1"/>
  <c r="CF51" i="15"/>
  <c r="Q51" i="15" s="1"/>
  <c r="BC44" i="15"/>
  <c r="BF44" i="15" s="1"/>
  <c r="J44" i="15" s="1"/>
  <c r="BH39" i="15"/>
  <c r="AI32" i="15"/>
  <c r="F32" i="15" s="1"/>
  <c r="AW12" i="15"/>
  <c r="BW39" i="15"/>
  <c r="N39" i="15" s="1"/>
  <c r="BM25" i="15"/>
  <c r="K25" i="15" s="1"/>
  <c r="BM52" i="15"/>
  <c r="K52" i="15" s="1"/>
  <c r="CF40" i="15"/>
  <c r="Q40" i="15" s="1"/>
  <c r="AW50" i="15"/>
  <c r="CH41" i="15"/>
  <c r="AM50" i="15"/>
  <c r="G50" i="15" s="1"/>
  <c r="AC21" i="15"/>
  <c r="AB21" i="15"/>
  <c r="AE21" i="15"/>
  <c r="CL46" i="15"/>
  <c r="R46" i="15" s="1"/>
  <c r="BT39" i="15"/>
  <c r="M39" i="15" s="1"/>
  <c r="CF32" i="15"/>
  <c r="Q32" i="15" s="1"/>
  <c r="BW31" i="15"/>
  <c r="N31" i="15" s="1"/>
  <c r="BT40" i="15"/>
  <c r="M40" i="15" s="1"/>
  <c r="AF25" i="15"/>
  <c r="E25" i="15" s="1"/>
  <c r="CL17" i="15"/>
  <c r="R17" i="15" s="1"/>
  <c r="CL24" i="15"/>
  <c r="R24" i="15" s="1"/>
  <c r="BW27" i="15"/>
  <c r="N27" i="15" s="1"/>
  <c r="BZ36" i="15"/>
  <c r="O36" i="15" s="1"/>
  <c r="BQ24" i="15"/>
  <c r="L24" i="15" s="1"/>
  <c r="BZ31" i="15"/>
  <c r="O31" i="15" s="1"/>
  <c r="BG18" i="15"/>
  <c r="BI18" i="15"/>
  <c r="BL44" i="15"/>
  <c r="BK44" i="15" s="1"/>
  <c r="BH44" i="15"/>
  <c r="BG44" i="15"/>
  <c r="AZ22" i="15"/>
  <c r="H22" i="15" s="1"/>
  <c r="BG21" i="15"/>
  <c r="BZ9" i="15"/>
  <c r="O9" i="15" s="1"/>
  <c r="AF54" i="15"/>
  <c r="E54" i="15" s="1"/>
  <c r="AI21" i="15"/>
  <c r="F21" i="15" s="1"/>
  <c r="BE21" i="15"/>
  <c r="BC21" i="15"/>
  <c r="AM27" i="15"/>
  <c r="G27" i="15" s="1"/>
  <c r="AF56" i="15"/>
  <c r="E56" i="15" s="1"/>
  <c r="BI44" i="15"/>
  <c r="BI21" i="15"/>
  <c r="AC29" i="15"/>
  <c r="AB29" i="15"/>
  <c r="AE29" i="15"/>
  <c r="BZ53" i="15"/>
  <c r="O53" i="15" s="1"/>
  <c r="AY29" i="15"/>
  <c r="AN29" i="15"/>
  <c r="AQ29" i="15"/>
  <c r="AT29" i="15"/>
  <c r="AS29" i="15"/>
  <c r="AO29" i="15"/>
  <c r="AV29" i="15"/>
  <c r="AW29" i="15"/>
  <c r="AU29" i="15"/>
  <c r="AP29" i="15"/>
  <c r="AR29" i="15"/>
  <c r="AC41" i="15"/>
  <c r="AE41" i="15"/>
  <c r="AF42" i="15"/>
  <c r="E42" i="15" s="1"/>
  <c r="BW44" i="15"/>
  <c r="N44" i="15" s="1"/>
  <c r="AM48" i="15"/>
  <c r="G48" i="15" s="1"/>
  <c r="AI37" i="15"/>
  <c r="F37" i="15" s="1"/>
  <c r="BT49" i="15"/>
  <c r="M49" i="15" s="1"/>
  <c r="BE39" i="15"/>
  <c r="BC39" i="15"/>
  <c r="AT53" i="15"/>
  <c r="AQ53" i="15"/>
  <c r="AO53" i="15"/>
  <c r="AV53" i="15"/>
  <c r="CF39" i="15"/>
  <c r="Q39" i="15" s="1"/>
  <c r="BQ8" i="15"/>
  <c r="L8" i="15" s="1"/>
  <c r="BF54" i="15"/>
  <c r="J54" i="15" s="1"/>
  <c r="CC47" i="15"/>
  <c r="P47" i="15" s="1"/>
  <c r="AY44" i="15"/>
  <c r="AV44" i="15"/>
  <c r="AQ44" i="15"/>
  <c r="AR44" i="15"/>
  <c r="AT44" i="15"/>
  <c r="BC53" i="15"/>
  <c r="BE53" i="15"/>
  <c r="AI51" i="15"/>
  <c r="F51" i="15" s="1"/>
  <c r="BM38" i="15"/>
  <c r="K38" i="15" s="1"/>
  <c r="BT14" i="15"/>
  <c r="M14" i="15" s="1"/>
  <c r="CL26" i="15"/>
  <c r="R26" i="15" s="1"/>
  <c r="BE27" i="15"/>
  <c r="BF27" i="15" s="1"/>
  <c r="J27" i="15" s="1"/>
  <c r="BF50" i="15"/>
  <c r="J50" i="15" s="1"/>
  <c r="BT51" i="15"/>
  <c r="M51" i="15" s="1"/>
  <c r="AM36" i="15"/>
  <c r="G36" i="15" s="1"/>
  <c r="BQ25" i="15"/>
  <c r="L25" i="15" s="1"/>
  <c r="AI23" i="15"/>
  <c r="F23" i="15" s="1"/>
  <c r="AZ46" i="15"/>
  <c r="H46" i="15" s="1"/>
  <c r="CC28" i="15"/>
  <c r="P28" i="15" s="1"/>
  <c r="BH21" i="15"/>
  <c r="BT20" i="15"/>
  <c r="BM22" i="15"/>
  <c r="AM21" i="15"/>
  <c r="G21" i="15" s="1"/>
  <c r="BE41" i="15"/>
  <c r="BC41" i="15"/>
  <c r="AZ38" i="15"/>
  <c r="H38" i="15" s="1"/>
  <c r="AB41" i="15"/>
  <c r="AI53" i="15"/>
  <c r="F53" i="15" s="1"/>
  <c r="AM39" i="15"/>
  <c r="G39" i="15" s="1"/>
  <c r="CL42" i="15"/>
  <c r="R42" i="15" s="1"/>
  <c r="CL54" i="15"/>
  <c r="R54" i="15" s="1"/>
  <c r="AI28" i="15"/>
  <c r="F28" i="15" s="1"/>
  <c r="BT31" i="15"/>
  <c r="M31" i="15" s="1"/>
  <c r="BT47" i="15"/>
  <c r="M47" i="15" s="1"/>
  <c r="CC45" i="15"/>
  <c r="P45" i="15" s="1"/>
  <c r="BP29" i="15"/>
  <c r="BN29" i="15"/>
  <c r="BH7" i="15"/>
  <c r="BG7" i="15"/>
  <c r="BL7" i="15"/>
  <c r="BK7" i="15" s="1"/>
  <c r="BI7" i="15"/>
  <c r="BP23" i="15"/>
  <c r="BN23" i="15"/>
  <c r="BM17" i="15"/>
  <c r="K17" i="15" s="1"/>
  <c r="CC43" i="15"/>
  <c r="P43" i="15" s="1"/>
  <c r="BM50" i="15"/>
  <c r="K50" i="15" s="1"/>
  <c r="BP14" i="15"/>
  <c r="BN14" i="15"/>
  <c r="BF56" i="15"/>
  <c r="J56" i="15" s="1"/>
  <c r="CG14" i="15"/>
  <c r="CI14" i="15"/>
  <c r="CH14" i="15"/>
  <c r="CK14" i="15"/>
  <c r="AM33" i="15"/>
  <c r="G33" i="15" s="1"/>
  <c r="BC48" i="15"/>
  <c r="BE48" i="15"/>
  <c r="BZ48" i="15"/>
  <c r="O48" i="15" s="1"/>
  <c r="CF9" i="15"/>
  <c r="Q9" i="15" s="1"/>
  <c r="BC31" i="15"/>
  <c r="BF31" i="15" s="1"/>
  <c r="J31" i="15" s="1"/>
  <c r="BE31" i="15"/>
  <c r="CI47" i="15"/>
  <c r="CG47" i="15"/>
  <c r="CK47" i="15"/>
  <c r="CH47" i="15"/>
  <c r="BZ40" i="15"/>
  <c r="O40" i="15" s="1"/>
  <c r="BN40" i="15"/>
  <c r="BP40" i="15"/>
  <c r="AI55" i="15"/>
  <c r="F55" i="15" s="1"/>
  <c r="AE45" i="15"/>
  <c r="AB45" i="15"/>
  <c r="AC45" i="15"/>
  <c r="BZ51" i="15"/>
  <c r="O51" i="15" s="1"/>
  <c r="AC23" i="15"/>
  <c r="AE23" i="15"/>
  <c r="AB23" i="15"/>
  <c r="BG48" i="15"/>
  <c r="BI48" i="15"/>
  <c r="BL48" i="15"/>
  <c r="BK48" i="15" s="1"/>
  <c r="BH48" i="15"/>
  <c r="AY55" i="15"/>
  <c r="AV55" i="15"/>
  <c r="AU55" i="15"/>
  <c r="AQ55" i="15"/>
  <c r="AN55" i="15"/>
  <c r="AW55" i="15"/>
  <c r="AS55" i="15"/>
  <c r="AR55" i="15"/>
  <c r="AT55" i="15"/>
  <c r="AP55" i="15"/>
  <c r="AO55" i="15"/>
  <c r="AF8" i="15"/>
  <c r="E8" i="15" s="1"/>
  <c r="AC37" i="15"/>
  <c r="AE37" i="15"/>
  <c r="AB37" i="15"/>
  <c r="BW37" i="15"/>
  <c r="N37" i="15" s="1"/>
  <c r="BC33" i="15"/>
  <c r="BE33" i="15"/>
  <c r="CK12" i="15"/>
  <c r="CI12" i="15"/>
  <c r="CG12" i="15"/>
  <c r="CH12" i="15"/>
  <c r="AQ9" i="15"/>
  <c r="AO9" i="15"/>
  <c r="AN9" i="15"/>
  <c r="AP9" i="15"/>
  <c r="AS9" i="15"/>
  <c r="AU9" i="15"/>
  <c r="AR9" i="15"/>
  <c r="AY9" i="15"/>
  <c r="AT9" i="15"/>
  <c r="AV9" i="15"/>
  <c r="AW9" i="15"/>
  <c r="BL31" i="15"/>
  <c r="BK31" i="15" s="1"/>
  <c r="BG31" i="15"/>
  <c r="BI31" i="15"/>
  <c r="BH31" i="15"/>
  <c r="AY47" i="15"/>
  <c r="AO47" i="15"/>
  <c r="AT47" i="15"/>
  <c r="AN47" i="15"/>
  <c r="AR47" i="15"/>
  <c r="AU47" i="15"/>
  <c r="AV47" i="15"/>
  <c r="AQ47" i="15"/>
  <c r="AP47" i="15"/>
  <c r="AW47" i="15"/>
  <c r="AS47" i="15"/>
  <c r="AC40" i="15"/>
  <c r="AE40" i="15"/>
  <c r="AB40" i="15"/>
  <c r="AW45" i="15"/>
  <c r="AS45" i="15"/>
  <c r="AV45" i="15"/>
  <c r="AU45" i="15"/>
  <c r="AO45" i="15"/>
  <c r="AR45" i="15"/>
  <c r="AQ45" i="15"/>
  <c r="AY45" i="15"/>
  <c r="AT45" i="15"/>
  <c r="AP45" i="15"/>
  <c r="AN45" i="15"/>
  <c r="BP45" i="15"/>
  <c r="BN45" i="15"/>
  <c r="BC14" i="15"/>
  <c r="BE14" i="15"/>
  <c r="CG31" i="15"/>
  <c r="CH31" i="15"/>
  <c r="CK31" i="15"/>
  <c r="CI31" i="15"/>
  <c r="BN47" i="15"/>
  <c r="BP47" i="15"/>
  <c r="BG55" i="15"/>
  <c r="BL55" i="15"/>
  <c r="BK55" i="15" s="1"/>
  <c r="BH55" i="15"/>
  <c r="BI55" i="15"/>
  <c r="CG45" i="15"/>
  <c r="CK45" i="15"/>
  <c r="CI45" i="15"/>
  <c r="CH45" i="15"/>
  <c r="AZ17" i="15"/>
  <c r="H17" i="15" s="1"/>
  <c r="AC27" i="15"/>
  <c r="AE27" i="15"/>
  <c r="AB27" i="15"/>
  <c r="AZ11" i="15"/>
  <c r="H11" i="15" s="1"/>
  <c r="CK27" i="15"/>
  <c r="CG27" i="15"/>
  <c r="CH27" i="15"/>
  <c r="CI27" i="15"/>
  <c r="BP19" i="15"/>
  <c r="BN19" i="15"/>
  <c r="BQ19" i="15" s="1"/>
  <c r="L19" i="15" s="1"/>
  <c r="BF25" i="15"/>
  <c r="J25" i="15" s="1"/>
  <c r="CF28" i="15"/>
  <c r="Q28" i="15" s="1"/>
  <c r="AI20" i="15"/>
  <c r="F20" i="15" s="1"/>
  <c r="AQ48" i="15"/>
  <c r="AY48" i="15"/>
  <c r="AW48" i="15"/>
  <c r="AP48" i="15"/>
  <c r="AR48" i="15"/>
  <c r="AN48" i="15"/>
  <c r="AT48" i="15"/>
  <c r="AS48" i="15"/>
  <c r="AV48" i="15"/>
  <c r="AU48" i="15"/>
  <c r="AO48" i="15"/>
  <c r="AM40" i="15"/>
  <c r="G40" i="15" s="1"/>
  <c r="BM54" i="15"/>
  <c r="K54" i="15" s="1"/>
  <c r="BZ45" i="15"/>
  <c r="O45" i="15" s="1"/>
  <c r="CC27" i="15"/>
  <c r="P27" i="15" s="1"/>
  <c r="BC12" i="15"/>
  <c r="BE12" i="15"/>
  <c r="BP20" i="15"/>
  <c r="BN20" i="15"/>
  <c r="BQ20" i="15" s="1"/>
  <c r="L20" i="15" s="1"/>
  <c r="BC55" i="15"/>
  <c r="BE55" i="15"/>
  <c r="AZ26" i="15"/>
  <c r="H26" i="15" s="1"/>
  <c r="AB51" i="15"/>
  <c r="AE51" i="15"/>
  <c r="AC51" i="15"/>
  <c r="AZ10" i="15"/>
  <c r="H10" i="15" s="1"/>
  <c r="CL35" i="15"/>
  <c r="R35" i="15" s="1"/>
  <c r="CK18" i="15"/>
  <c r="CI18" i="15"/>
  <c r="CH18" i="15"/>
  <c r="CG18" i="15"/>
  <c r="AB16" i="15"/>
  <c r="AE16" i="15"/>
  <c r="AC16" i="15"/>
  <c r="CL52" i="15"/>
  <c r="R52" i="15" s="1"/>
  <c r="AQ43" i="15"/>
  <c r="AO43" i="15"/>
  <c r="AN43" i="15"/>
  <c r="AW43" i="15"/>
  <c r="AU43" i="15"/>
  <c r="AR43" i="15"/>
  <c r="AV43" i="15"/>
  <c r="AT43" i="15"/>
  <c r="AS43" i="15"/>
  <c r="AY43" i="15"/>
  <c r="AP43" i="15"/>
  <c r="BE20" i="15"/>
  <c r="BC20" i="15"/>
  <c r="CF19" i="15"/>
  <c r="Q19" i="15" s="1"/>
  <c r="AF10" i="15"/>
  <c r="E10" i="15" s="1"/>
  <c r="BM10" i="15"/>
  <c r="K10" i="15" s="1"/>
  <c r="BP28" i="15"/>
  <c r="BN28" i="15"/>
  <c r="CK20" i="15"/>
  <c r="CG20" i="15"/>
  <c r="CH20" i="15"/>
  <c r="CI20" i="15"/>
  <c r="BE32" i="15"/>
  <c r="BC32" i="15"/>
  <c r="BN48" i="15"/>
  <c r="BP48" i="15"/>
  <c r="AE47" i="15"/>
  <c r="AB47" i="15"/>
  <c r="AC47" i="15"/>
  <c r="AF35" i="15"/>
  <c r="E35" i="15" s="1"/>
  <c r="BH37" i="15"/>
  <c r="BG37" i="15"/>
  <c r="BL37" i="15"/>
  <c r="BK37" i="15" s="1"/>
  <c r="BI37" i="15"/>
  <c r="BQ52" i="15"/>
  <c r="L52" i="15" s="1"/>
  <c r="BN7" i="15"/>
  <c r="BP7" i="15"/>
  <c r="BP16" i="15"/>
  <c r="BN16" i="15"/>
  <c r="BF34" i="15"/>
  <c r="J34" i="15" s="1"/>
  <c r="BL15" i="15"/>
  <c r="BK15" i="15" s="1"/>
  <c r="BH15" i="15"/>
  <c r="BG15" i="15"/>
  <c r="BI15" i="15"/>
  <c r="CH36" i="15"/>
  <c r="CK36" i="15"/>
  <c r="CG36" i="15"/>
  <c r="CI36" i="15"/>
  <c r="BL33" i="15"/>
  <c r="BK33" i="15" s="1"/>
  <c r="BH33" i="15"/>
  <c r="BI33" i="15"/>
  <c r="BG33" i="15"/>
  <c r="CI33" i="15"/>
  <c r="CK33" i="15"/>
  <c r="CG33" i="15"/>
  <c r="CH33" i="15"/>
  <c r="CL38" i="15"/>
  <c r="R38" i="15" s="1"/>
  <c r="BT12" i="15"/>
  <c r="M12" i="15" s="1"/>
  <c r="AW36" i="15"/>
  <c r="AR36" i="15"/>
  <c r="AN36" i="15"/>
  <c r="AT36" i="15"/>
  <c r="AY36" i="15"/>
  <c r="AO36" i="15"/>
  <c r="AU36" i="15"/>
  <c r="AV36" i="15"/>
  <c r="AP36" i="15"/>
  <c r="AS36" i="15"/>
  <c r="AQ36" i="15"/>
  <c r="BZ20" i="15"/>
  <c r="O20" i="15" s="1"/>
  <c r="CL25" i="15"/>
  <c r="R25" i="15" s="1"/>
  <c r="AI48" i="15"/>
  <c r="F48" i="15" s="1"/>
  <c r="CC9" i="15"/>
  <c r="P9" i="15" s="1"/>
  <c r="AQ31" i="15"/>
  <c r="AV31" i="15"/>
  <c r="AU31" i="15"/>
  <c r="AT31" i="15"/>
  <c r="AY31" i="15"/>
  <c r="AW31" i="15"/>
  <c r="AS31" i="15"/>
  <c r="AR31" i="15"/>
  <c r="AO31" i="15"/>
  <c r="AP31" i="15"/>
  <c r="AN31" i="15"/>
  <c r="AC55" i="15"/>
  <c r="AB55" i="15"/>
  <c r="AE55" i="15"/>
  <c r="BE45" i="15"/>
  <c r="BC45" i="15"/>
  <c r="BG51" i="15"/>
  <c r="BI51" i="15"/>
  <c r="BL51" i="15"/>
  <c r="BK51" i="15" s="1"/>
  <c r="BH51" i="15"/>
  <c r="AZ8" i="15"/>
  <c r="H8" i="15" s="1"/>
  <c r="CH21" i="15"/>
  <c r="CK21" i="15"/>
  <c r="CG21" i="15"/>
  <c r="CI21" i="15"/>
  <c r="AT7" i="15"/>
  <c r="AW7" i="15"/>
  <c r="AV7" i="15"/>
  <c r="AU7" i="15"/>
  <c r="AS7" i="15"/>
  <c r="AR7" i="15"/>
  <c r="AQ7" i="15"/>
  <c r="AO7" i="15"/>
  <c r="AN7" i="15"/>
  <c r="AY7" i="15"/>
  <c r="AP7" i="15"/>
  <c r="AI39" i="15"/>
  <c r="F39" i="15" s="1"/>
  <c r="AF38" i="15"/>
  <c r="E38" i="15" s="1"/>
  <c r="AY27" i="15"/>
  <c r="AO27" i="15"/>
  <c r="AP27" i="15"/>
  <c r="AQ27" i="15"/>
  <c r="AN27" i="15"/>
  <c r="AU27" i="15"/>
  <c r="AR27" i="15"/>
  <c r="AS27" i="15"/>
  <c r="AV27" i="15"/>
  <c r="AT27" i="15"/>
  <c r="AW27" i="15"/>
  <c r="AB49" i="15"/>
  <c r="AE49" i="15"/>
  <c r="AC49" i="15"/>
  <c r="CK28" i="15"/>
  <c r="CH28" i="15"/>
  <c r="CG28" i="15"/>
  <c r="CI28" i="15"/>
  <c r="AE20" i="15"/>
  <c r="AB20" i="15"/>
  <c r="AC20" i="15"/>
  <c r="BE9" i="15"/>
  <c r="BC9" i="15"/>
  <c r="BH47" i="15"/>
  <c r="BG47" i="15"/>
  <c r="BL47" i="15"/>
  <c r="BK47" i="15" s="1"/>
  <c r="BI47" i="15"/>
  <c r="BI40" i="15"/>
  <c r="BH40" i="15"/>
  <c r="BG40" i="15"/>
  <c r="BL40" i="15"/>
  <c r="BK40" i="15" s="1"/>
  <c r="AS37" i="15"/>
  <c r="AR37" i="15"/>
  <c r="AQ37" i="15"/>
  <c r="AP37" i="15"/>
  <c r="AW37" i="15"/>
  <c r="AY37" i="15"/>
  <c r="AU37" i="15"/>
  <c r="AN37" i="15"/>
  <c r="AT37" i="15"/>
  <c r="AO37" i="15"/>
  <c r="AV37" i="15"/>
  <c r="CL22" i="15"/>
  <c r="R22" i="15" s="1"/>
  <c r="BQ10" i="15"/>
  <c r="L10" i="15" s="1"/>
  <c r="CK39" i="15"/>
  <c r="CI39" i="15"/>
  <c r="CH39" i="15"/>
  <c r="CG39" i="15"/>
  <c r="AF46" i="15"/>
  <c r="E46" i="15" s="1"/>
  <c r="BF10" i="15"/>
  <c r="J10" i="15" s="1"/>
  <c r="AC7" i="15"/>
  <c r="AB7" i="15"/>
  <c r="AE7" i="15"/>
  <c r="BN53" i="15"/>
  <c r="BP53" i="15"/>
  <c r="AR39" i="15"/>
  <c r="AS39" i="15"/>
  <c r="AQ39" i="15"/>
  <c r="AN39" i="15"/>
  <c r="AT39" i="15"/>
  <c r="AY39" i="15"/>
  <c r="AW39" i="15"/>
  <c r="AV39" i="15"/>
  <c r="AP39" i="15"/>
  <c r="AO39" i="15"/>
  <c r="AU39" i="15"/>
  <c r="CG23" i="15"/>
  <c r="CI23" i="15"/>
  <c r="CH23" i="15"/>
  <c r="CK23" i="15"/>
  <c r="BI43" i="15"/>
  <c r="BL43" i="15"/>
  <c r="BK43" i="15" s="1"/>
  <c r="BH43" i="15"/>
  <c r="BG43" i="15"/>
  <c r="AZ30" i="15"/>
  <c r="H30" i="15" s="1"/>
  <c r="BZ14" i="15"/>
  <c r="O14" i="15" s="1"/>
  <c r="BG49" i="15"/>
  <c r="BH49" i="15"/>
  <c r="BL49" i="15"/>
  <c r="BK49" i="15" s="1"/>
  <c r="BI49" i="15"/>
  <c r="AE36" i="15"/>
  <c r="AB36" i="15"/>
  <c r="AC36" i="15"/>
  <c r="BW33" i="15"/>
  <c r="N33" i="15" s="1"/>
  <c r="BZ33" i="15"/>
  <c r="O33" i="15" s="1"/>
  <c r="AZ56" i="15"/>
  <c r="H56" i="15" s="1"/>
  <c r="BI20" i="15"/>
  <c r="BH20" i="15"/>
  <c r="BL20" i="15"/>
  <c r="BK20" i="15" s="1"/>
  <c r="BG20" i="15"/>
  <c r="BI32" i="15"/>
  <c r="BL32" i="15"/>
  <c r="BK32" i="15" s="1"/>
  <c r="BG32" i="15"/>
  <c r="BH32" i="15"/>
  <c r="BF17" i="15"/>
  <c r="J17" i="15" s="1"/>
  <c r="AP51" i="15"/>
  <c r="AN51" i="15"/>
  <c r="AU51" i="15"/>
  <c r="AT51" i="15"/>
  <c r="AR51" i="15"/>
  <c r="AW51" i="15"/>
  <c r="AO51" i="15"/>
  <c r="AS51" i="15"/>
  <c r="AV51" i="15"/>
  <c r="AY51" i="15"/>
  <c r="AQ51" i="15"/>
  <c r="CK9" i="15"/>
  <c r="CG9" i="15"/>
  <c r="CI9" i="15"/>
  <c r="CH9" i="15"/>
  <c r="AI45" i="15"/>
  <c r="F45" i="15" s="1"/>
  <c r="CL11" i="15"/>
  <c r="R11" i="15" s="1"/>
  <c r="BQ33" i="15"/>
  <c r="L33" i="15" s="1"/>
  <c r="AZ52" i="15"/>
  <c r="H52" i="15" s="1"/>
  <c r="BF16" i="15"/>
  <c r="J16" i="15" s="1"/>
  <c r="CI19" i="15"/>
  <c r="CK19" i="15"/>
  <c r="CH19" i="15"/>
  <c r="CG19" i="15"/>
  <c r="BP39" i="15"/>
  <c r="BN39" i="15"/>
  <c r="BP32" i="15"/>
  <c r="BN32" i="15"/>
  <c r="AZ12" i="15"/>
  <c r="H12" i="15" s="1"/>
  <c r="BM26" i="15"/>
  <c r="K26" i="15" s="1"/>
  <c r="AT21" i="15"/>
  <c r="AY21" i="15"/>
  <c r="AW21" i="15"/>
  <c r="AV21" i="15"/>
  <c r="AR21" i="15"/>
  <c r="AP21" i="15"/>
  <c r="AS21" i="15"/>
  <c r="AO21" i="15"/>
  <c r="AN21" i="15"/>
  <c r="AQ21" i="15"/>
  <c r="AU21" i="15"/>
  <c r="AY18" i="15"/>
  <c r="AW18" i="15"/>
  <c r="AQ18" i="15"/>
  <c r="AN18" i="15"/>
  <c r="AV18" i="15"/>
  <c r="AU18" i="15"/>
  <c r="AT18" i="15"/>
  <c r="AR18" i="15"/>
  <c r="AS18" i="15"/>
  <c r="AO18" i="15"/>
  <c r="AP18" i="15"/>
  <c r="AF34" i="15"/>
  <c r="E34" i="15" s="1"/>
  <c r="AZ24" i="15"/>
  <c r="H24" i="15" s="1"/>
  <c r="BM34" i="15"/>
  <c r="K34" i="15" s="1"/>
  <c r="AM7" i="15"/>
  <c r="G7" i="15" s="1"/>
  <c r="BM24" i="15"/>
  <c r="K24" i="15" s="1"/>
  <c r="CF27" i="15"/>
  <c r="Q27" i="15" s="1"/>
  <c r="CL30" i="15"/>
  <c r="R30" i="15" s="1"/>
  <c r="BF49" i="15"/>
  <c r="J49" i="15" s="1"/>
  <c r="AI49" i="15"/>
  <c r="F49" i="15" s="1"/>
  <c r="CF33" i="15"/>
  <c r="Q33" i="15" s="1"/>
  <c r="BE28" i="15"/>
  <c r="BC28" i="15"/>
  <c r="BW12" i="15"/>
  <c r="N12" i="15" s="1"/>
  <c r="BM29" i="15"/>
  <c r="K29" i="15" s="1"/>
  <c r="CL49" i="15"/>
  <c r="R49" i="15" s="1"/>
  <c r="BM21" i="15"/>
  <c r="K21" i="15" s="1"/>
  <c r="CI48" i="15"/>
  <c r="CK48" i="15"/>
  <c r="CG48" i="15"/>
  <c r="CH48" i="15"/>
  <c r="BE47" i="15"/>
  <c r="BC47" i="15"/>
  <c r="BW55" i="15"/>
  <c r="N55" i="15" s="1"/>
  <c r="BM30" i="15"/>
  <c r="K30" i="15" s="1"/>
  <c r="BE51" i="15"/>
  <c r="BC51" i="15"/>
  <c r="CG37" i="15"/>
  <c r="CK37" i="15"/>
  <c r="CI37" i="15"/>
  <c r="CH37" i="15"/>
  <c r="AT20" i="15"/>
  <c r="AS20" i="15"/>
  <c r="AY20" i="15"/>
  <c r="AR20" i="15"/>
  <c r="AN20" i="15"/>
  <c r="AV20" i="15"/>
  <c r="AW20" i="15"/>
  <c r="AU20" i="15"/>
  <c r="AQ20" i="15"/>
  <c r="AO20" i="15"/>
  <c r="AP20" i="15"/>
  <c r="CF18" i="15"/>
  <c r="Q18" i="15" s="1"/>
  <c r="BG14" i="15"/>
  <c r="BI14" i="15"/>
  <c r="BH14" i="15"/>
  <c r="BL14" i="15"/>
  <c r="BK14" i="15" s="1"/>
  <c r="BN55" i="15"/>
  <c r="BP55" i="15"/>
  <c r="BL45" i="15"/>
  <c r="BK45" i="15" s="1"/>
  <c r="BI45" i="15"/>
  <c r="BH45" i="15"/>
  <c r="BG45" i="15"/>
  <c r="CF16" i="15"/>
  <c r="Q16" i="15" s="1"/>
  <c r="I6" i="15"/>
  <c r="AB43" i="15"/>
  <c r="AC43" i="15"/>
  <c r="AE43" i="15"/>
  <c r="AF39" i="15"/>
  <c r="E39" i="15" s="1"/>
  <c r="CC19" i="15"/>
  <c r="P19" i="15" s="1"/>
  <c r="CF14" i="15"/>
  <c r="Q14" i="15" s="1"/>
  <c r="AM44" i="15"/>
  <c r="G44" i="15" s="1"/>
  <c r="AF17" i="15"/>
  <c r="E17" i="15" s="1"/>
  <c r="AZ34" i="15"/>
  <c r="H34" i="15" s="1"/>
  <c r="BZ32" i="15"/>
  <c r="O32" i="15" s="1"/>
  <c r="CC32" i="15"/>
  <c r="P32" i="15" s="1"/>
  <c r="AI9" i="15"/>
  <c r="F9" i="15" s="1"/>
  <c r="BN31" i="15"/>
  <c r="BP31" i="15"/>
  <c r="BC40" i="15"/>
  <c r="BE40" i="15"/>
  <c r="AF30" i="15"/>
  <c r="E30" i="15" s="1"/>
  <c r="CI43" i="15"/>
  <c r="CH43" i="15"/>
  <c r="CK43" i="15"/>
  <c r="CG43" i="15"/>
  <c r="AZ25" i="15"/>
  <c r="H25" i="15" s="1"/>
  <c r="AT19" i="15"/>
  <c r="AV19" i="15"/>
  <c r="AS19" i="15"/>
  <c r="AQ19" i="15"/>
  <c r="AR19" i="15"/>
  <c r="AP19" i="15"/>
  <c r="AY19" i="15"/>
  <c r="AW19" i="15"/>
  <c r="AU19" i="15"/>
  <c r="AO19" i="15"/>
  <c r="AN19" i="15"/>
  <c r="AC28" i="15"/>
  <c r="AE28" i="15"/>
  <c r="AB28" i="15"/>
  <c r="BC37" i="15"/>
  <c r="BE37" i="15"/>
  <c r="BN21" i="15"/>
  <c r="BQ21" i="15" s="1"/>
  <c r="L21" i="15" s="1"/>
  <c r="BP21" i="15"/>
  <c r="BN15" i="15"/>
  <c r="BP15" i="15"/>
  <c r="CK53" i="15"/>
  <c r="CG53" i="15"/>
  <c r="CI53" i="15"/>
  <c r="CH53" i="15"/>
  <c r="AM23" i="15"/>
  <c r="G23" i="15" s="1"/>
  <c r="BT19" i="15"/>
  <c r="AB19" i="15"/>
  <c r="AC19" i="15"/>
  <c r="AE19" i="15"/>
  <c r="CI44" i="15"/>
  <c r="CH44" i="15"/>
  <c r="CG44" i="15"/>
  <c r="CK44" i="15"/>
  <c r="BN36" i="15"/>
  <c r="BP36" i="15"/>
  <c r="AC32" i="15"/>
  <c r="AE32" i="15"/>
  <c r="AB32" i="15"/>
  <c r="CC40" i="15"/>
  <c r="P40" i="15" s="1"/>
  <c r="BZ55" i="15"/>
  <c r="O55" i="15" s="1"/>
  <c r="AM45" i="15"/>
  <c r="G45" i="15" s="1"/>
  <c r="AZ35" i="15"/>
  <c r="H35" i="15" s="1"/>
  <c r="CC51" i="15"/>
  <c r="P51" i="15" s="1"/>
  <c r="CI51" i="15"/>
  <c r="CK51" i="15"/>
  <c r="CG51" i="15"/>
  <c r="CH51" i="15"/>
  <c r="AF24" i="15"/>
  <c r="E24" i="15" s="1"/>
  <c r="AZ33" i="15"/>
  <c r="H33" i="15" s="1"/>
  <c r="BL19" i="15"/>
  <c r="BK19" i="15" s="1"/>
  <c r="BI19" i="15"/>
  <c r="BG19" i="15"/>
  <c r="BH19" i="15"/>
  <c r="AZ54" i="15"/>
  <c r="H54" i="15" s="1"/>
  <c r="BN44" i="15"/>
  <c r="BP44" i="15"/>
  <c r="BC36" i="15"/>
  <c r="BE36" i="15"/>
  <c r="AC33" i="15"/>
  <c r="AE33" i="15"/>
  <c r="AB33" i="15"/>
  <c r="CL8" i="15"/>
  <c r="R8" i="15" s="1"/>
  <c r="AV16" i="15"/>
  <c r="AU16" i="15"/>
  <c r="AT16" i="15"/>
  <c r="AR16" i="15"/>
  <c r="AS16" i="15"/>
  <c r="AN16" i="15"/>
  <c r="AQ16" i="15"/>
  <c r="AY16" i="15"/>
  <c r="AW16" i="15"/>
  <c r="AP16" i="15"/>
  <c r="AO16" i="15"/>
  <c r="AI7" i="15"/>
  <c r="F7" i="15" s="1"/>
  <c r="AE53" i="15"/>
  <c r="AC53" i="15"/>
  <c r="AB53" i="15"/>
  <c r="AS23" i="15"/>
  <c r="AN23" i="15"/>
  <c r="AO23" i="15"/>
  <c r="AW23" i="15"/>
  <c r="AV23" i="15"/>
  <c r="AU23" i="15"/>
  <c r="AQ23" i="15"/>
  <c r="AR23" i="15"/>
  <c r="AT23" i="15"/>
  <c r="AY23" i="15"/>
  <c r="AP23" i="15"/>
  <c r="CF23" i="15"/>
  <c r="Q23" i="15" s="1"/>
  <c r="BC19" i="15"/>
  <c r="BE19" i="15"/>
  <c r="AV14" i="15"/>
  <c r="AS14" i="15"/>
  <c r="AN14" i="15"/>
  <c r="AW14" i="15"/>
  <c r="AQ14" i="15"/>
  <c r="AU14" i="15"/>
  <c r="AY14" i="15"/>
  <c r="AR14" i="15"/>
  <c r="AP14" i="15"/>
  <c r="AT14" i="15"/>
  <c r="AO14" i="15"/>
  <c r="AW28" i="15"/>
  <c r="AV28" i="15"/>
  <c r="AN28" i="15"/>
  <c r="AR28" i="15"/>
  <c r="AY28" i="15"/>
  <c r="AU28" i="15"/>
  <c r="AT28" i="15"/>
  <c r="AO28" i="15"/>
  <c r="AP28" i="15"/>
  <c r="AS28" i="15"/>
  <c r="AQ28" i="15"/>
  <c r="AU32" i="15"/>
  <c r="AT32" i="15"/>
  <c r="AR32" i="15"/>
  <c r="AP32" i="15"/>
  <c r="AS32" i="15"/>
  <c r="AY32" i="15"/>
  <c r="AQ32" i="15"/>
  <c r="AV32" i="15"/>
  <c r="AO32" i="15"/>
  <c r="AW32" i="15"/>
  <c r="AN32" i="15"/>
  <c r="BQ30" i="15"/>
  <c r="L30" i="15" s="1"/>
  <c r="BL9" i="15"/>
  <c r="BK9" i="15" s="1"/>
  <c r="BI9" i="15"/>
  <c r="BG9" i="15"/>
  <c r="BH9" i="15"/>
  <c r="AM31" i="15"/>
  <c r="G31" i="15" s="1"/>
  <c r="AE31" i="15"/>
  <c r="AC31" i="15"/>
  <c r="AB31" i="15"/>
  <c r="AM51" i="15"/>
  <c r="G51" i="15" s="1"/>
  <c r="BP51" i="15"/>
  <c r="BN51" i="15"/>
  <c r="CL34" i="15"/>
  <c r="R34" i="15" s="1"/>
  <c r="BP37" i="15"/>
  <c r="BN37" i="15"/>
  <c r="C42" i="15"/>
  <c r="D42" i="15"/>
  <c r="S42" i="15"/>
  <c r="AF26" i="15"/>
  <c r="E26" i="15" s="1"/>
  <c r="BH16" i="15"/>
  <c r="BI16" i="15"/>
  <c r="BL16" i="15"/>
  <c r="BK16" i="15" s="1"/>
  <c r="BG16" i="15"/>
  <c r="CH7" i="15"/>
  <c r="CI7" i="15"/>
  <c r="CG7" i="15"/>
  <c r="CK7" i="15"/>
  <c r="AZ13" i="15"/>
  <c r="H13" i="15" s="1"/>
  <c r="CC39" i="15"/>
  <c r="P39" i="15" s="1"/>
  <c r="BL23" i="15"/>
  <c r="BK23" i="15" s="1"/>
  <c r="BH23" i="15"/>
  <c r="BI23" i="15"/>
  <c r="BG23" i="15"/>
  <c r="CC23" i="15"/>
  <c r="P23" i="15" s="1"/>
  <c r="BW36" i="15"/>
  <c r="N36" i="15" s="1"/>
  <c r="AI19" i="15"/>
  <c r="F19" i="15" s="1"/>
  <c r="AM19" i="15"/>
  <c r="CC14" i="15"/>
  <c r="P14" i="15" s="1"/>
  <c r="BT48" i="15"/>
  <c r="M48" i="15" s="1"/>
  <c r="AB44" i="15"/>
  <c r="AC44" i="15"/>
  <c r="AE44" i="15"/>
  <c r="BM13" i="15"/>
  <c r="K13" i="15" s="1"/>
  <c r="AS49" i="15"/>
  <c r="AN49" i="15"/>
  <c r="AR49" i="15"/>
  <c r="AQ49" i="15"/>
  <c r="AP49" i="15"/>
  <c r="AO49" i="15"/>
  <c r="AV49" i="15"/>
  <c r="AW49" i="15"/>
  <c r="AT49" i="15"/>
  <c r="AY49" i="15"/>
  <c r="AU49" i="15"/>
  <c r="BF35" i="15"/>
  <c r="J35" i="15" s="1"/>
  <c r="BG28" i="15"/>
  <c r="BL28" i="15"/>
  <c r="BK28" i="15" s="1"/>
  <c r="BH28" i="15"/>
  <c r="BI28" i="15"/>
  <c r="BM53" i="15"/>
  <c r="K53" i="15" s="1"/>
  <c r="AE14" i="15"/>
  <c r="AC14" i="15"/>
  <c r="AB14" i="15"/>
  <c r="AB48" i="15"/>
  <c r="AC48" i="15"/>
  <c r="AE48" i="15"/>
  <c r="BT9" i="15"/>
  <c r="M9" i="15" s="1"/>
  <c r="BN9" i="15"/>
  <c r="BP9" i="15"/>
  <c r="CH40" i="15"/>
  <c r="CI40" i="15"/>
  <c r="CK40" i="15"/>
  <c r="CG40" i="15"/>
  <c r="AU40" i="15"/>
  <c r="AY40" i="15"/>
  <c r="AS40" i="15"/>
  <c r="AW40" i="15"/>
  <c r="AN40" i="15"/>
  <c r="AR40" i="15"/>
  <c r="AO40" i="15"/>
  <c r="AV40" i="15"/>
  <c r="AT40" i="15"/>
  <c r="AP40" i="15"/>
  <c r="AQ40" i="15"/>
  <c r="CK55" i="15"/>
  <c r="CH55" i="15"/>
  <c r="CG55" i="15"/>
  <c r="CI55" i="15"/>
  <c r="CC37" i="15"/>
  <c r="P37" i="15" s="1"/>
  <c r="W24" i="18" l="1"/>
  <c r="W276" i="18"/>
  <c r="R348" i="18"/>
  <c r="AA342" i="18" s="1"/>
  <c r="AD142" i="18"/>
  <c r="AD286" i="18"/>
  <c r="W132" i="18"/>
  <c r="R132" i="18"/>
  <c r="AA126" i="18" s="1"/>
  <c r="AD322" i="18"/>
  <c r="R312" i="18"/>
  <c r="AA306" i="18" s="1"/>
  <c r="W312" i="18"/>
  <c r="AC34" i="18"/>
  <c r="AD34" i="18"/>
  <c r="AC250" i="18"/>
  <c r="AD250" i="18"/>
  <c r="W240" i="18"/>
  <c r="R240" i="18"/>
  <c r="AA234" i="18" s="1"/>
  <c r="W204" i="18"/>
  <c r="R204" i="18"/>
  <c r="AA198" i="18" s="1"/>
  <c r="AC214" i="18"/>
  <c r="AD214" i="18"/>
  <c r="AC178" i="18"/>
  <c r="AD178" i="18"/>
  <c r="W168" i="18"/>
  <c r="R168" i="18"/>
  <c r="AA162" i="18" s="1"/>
  <c r="R96" i="18"/>
  <c r="AA90" i="18" s="1"/>
  <c r="W96" i="18"/>
  <c r="AC106" i="18"/>
  <c r="AD106" i="18"/>
  <c r="R60" i="18"/>
  <c r="AA54" i="18" s="1"/>
  <c r="W60" i="18"/>
  <c r="AD70" i="18"/>
  <c r="R348" i="17"/>
  <c r="AA342" i="17" s="1"/>
  <c r="W348" i="17"/>
  <c r="W312" i="17"/>
  <c r="R312" i="17"/>
  <c r="AA306" i="17" s="1"/>
  <c r="AD322" i="17"/>
  <c r="R276" i="17"/>
  <c r="AA270" i="17" s="1"/>
  <c r="W276" i="17"/>
  <c r="W240" i="17"/>
  <c r="R240" i="17"/>
  <c r="AA234" i="17" s="1"/>
  <c r="AD250" i="17"/>
  <c r="W204" i="17"/>
  <c r="R204" i="17"/>
  <c r="AA198" i="17" s="1"/>
  <c r="W168" i="17"/>
  <c r="R168" i="17"/>
  <c r="AA162" i="17" s="1"/>
  <c r="R132" i="17"/>
  <c r="AA126" i="17" s="1"/>
  <c r="W132" i="17"/>
  <c r="R96" i="17"/>
  <c r="AA90" i="17" s="1"/>
  <c r="W96" i="17"/>
  <c r="R60" i="17"/>
  <c r="AA54" i="17" s="1"/>
  <c r="W60" i="17"/>
  <c r="W24" i="17"/>
  <c r="R24" i="17"/>
  <c r="AA18" i="17" s="1"/>
  <c r="AD34" i="17"/>
  <c r="AD34" i="5"/>
  <c r="AZ44" i="15"/>
  <c r="H44" i="15" s="1"/>
  <c r="AZ53" i="15"/>
  <c r="H53" i="15" s="1"/>
  <c r="BM41" i="15"/>
  <c r="CL29" i="15"/>
  <c r="R29" i="15" s="1"/>
  <c r="D54" i="15"/>
  <c r="AF13" i="15"/>
  <c r="E13" i="15" s="1"/>
  <c r="CL32" i="15"/>
  <c r="R32" i="15" s="1"/>
  <c r="C25" i="15"/>
  <c r="D11" i="15"/>
  <c r="CL13" i="15"/>
  <c r="R13" i="15" s="1"/>
  <c r="AF18" i="15"/>
  <c r="E18" i="15" s="1"/>
  <c r="AF12" i="15"/>
  <c r="E12" i="15" s="1"/>
  <c r="BM18" i="15"/>
  <c r="K18" i="15" s="1"/>
  <c r="C56" i="15"/>
  <c r="CL41" i="15"/>
  <c r="R41" i="15" s="1"/>
  <c r="BM12" i="15"/>
  <c r="K12" i="15" s="1"/>
  <c r="D56" i="15"/>
  <c r="CL15" i="15"/>
  <c r="R15" i="15" s="1"/>
  <c r="D22" i="15"/>
  <c r="S56" i="15"/>
  <c r="BQ45" i="15"/>
  <c r="L45" i="15" s="1"/>
  <c r="BQ50" i="15"/>
  <c r="L50" i="15" s="1"/>
  <c r="BQ55" i="15"/>
  <c r="L55" i="15" s="1"/>
  <c r="M6" i="15"/>
  <c r="AZ15" i="15"/>
  <c r="H15" i="15" s="1"/>
  <c r="BM27" i="15"/>
  <c r="K27" i="15" s="1"/>
  <c r="BM36" i="15"/>
  <c r="K36" i="15" s="1"/>
  <c r="BQ23" i="15"/>
  <c r="L23" i="15" s="1"/>
  <c r="AZ41" i="15"/>
  <c r="H41" i="15" s="1"/>
  <c r="BF19" i="15"/>
  <c r="J19" i="15" s="1"/>
  <c r="BQ51" i="15"/>
  <c r="L51" i="15" s="1"/>
  <c r="BF43" i="15"/>
  <c r="J43" i="15" s="1"/>
  <c r="AF15" i="15"/>
  <c r="E15" i="15" s="1"/>
  <c r="CL45" i="15"/>
  <c r="R45" i="15" s="1"/>
  <c r="AZ50" i="15"/>
  <c r="H50" i="15" s="1"/>
  <c r="AF21" i="15"/>
  <c r="E21" i="15" s="1"/>
  <c r="AF50" i="15"/>
  <c r="E50" i="15" s="1"/>
  <c r="AF33" i="15"/>
  <c r="E33" i="15" s="1"/>
  <c r="AF14" i="15"/>
  <c r="E14" i="15" s="1"/>
  <c r="AF41" i="15"/>
  <c r="E41" i="15" s="1"/>
  <c r="AF49" i="15"/>
  <c r="E49" i="15" s="1"/>
  <c r="AF27" i="15"/>
  <c r="E27" i="15" s="1"/>
  <c r="AF9" i="15"/>
  <c r="E9" i="15" s="1"/>
  <c r="BF45" i="15"/>
  <c r="J45" i="15" s="1"/>
  <c r="BF53" i="15"/>
  <c r="J53" i="15" s="1"/>
  <c r="CL44" i="15"/>
  <c r="R44" i="15" s="1"/>
  <c r="BF51" i="15"/>
  <c r="J51" i="15" s="1"/>
  <c r="BQ48" i="15"/>
  <c r="L48" i="15" s="1"/>
  <c r="BF12" i="15"/>
  <c r="J12" i="15" s="1"/>
  <c r="BF39" i="15"/>
  <c r="J39" i="15" s="1"/>
  <c r="AF29" i="15"/>
  <c r="E29" i="15" s="1"/>
  <c r="BF13" i="15"/>
  <c r="J13" i="15" s="1"/>
  <c r="AF23" i="15"/>
  <c r="E23" i="15" s="1"/>
  <c r="BM44" i="15"/>
  <c r="K44" i="15" s="1"/>
  <c r="CL55" i="15"/>
  <c r="R55" i="15" s="1"/>
  <c r="BM39" i="15"/>
  <c r="K39" i="15" s="1"/>
  <c r="BQ47" i="15"/>
  <c r="L47" i="15" s="1"/>
  <c r="BF21" i="15"/>
  <c r="J21" i="15" s="1"/>
  <c r="CL50" i="15"/>
  <c r="R50" i="15" s="1"/>
  <c r="AF43" i="15"/>
  <c r="E43" i="15" s="1"/>
  <c r="AF40" i="15"/>
  <c r="E40" i="15" s="1"/>
  <c r="BQ29" i="15"/>
  <c r="L29" i="15" s="1"/>
  <c r="AF45" i="15"/>
  <c r="E45" i="15" s="1"/>
  <c r="AF48" i="15"/>
  <c r="E48" i="15" s="1"/>
  <c r="CL51" i="15"/>
  <c r="R51" i="15" s="1"/>
  <c r="BF40" i="15"/>
  <c r="J40" i="15" s="1"/>
  <c r="CL37" i="15"/>
  <c r="R37" i="15" s="1"/>
  <c r="BQ53" i="15"/>
  <c r="L53" i="15" s="1"/>
  <c r="AF47" i="15"/>
  <c r="E47" i="15" s="1"/>
  <c r="BM31" i="15"/>
  <c r="K31" i="15" s="1"/>
  <c r="AZ29" i="15"/>
  <c r="H29" i="15" s="1"/>
  <c r="BQ40" i="15"/>
  <c r="L40" i="15" s="1"/>
  <c r="BF47" i="15"/>
  <c r="J47" i="15" s="1"/>
  <c r="S52" i="15"/>
  <c r="BQ14" i="15"/>
  <c r="L14" i="15" s="1"/>
  <c r="BF41" i="15"/>
  <c r="J41" i="15" s="1"/>
  <c r="BF32" i="15"/>
  <c r="J32" i="15" s="1"/>
  <c r="CL40" i="15"/>
  <c r="R40" i="15" s="1"/>
  <c r="BM33" i="15"/>
  <c r="K33" i="15" s="1"/>
  <c r="AZ45" i="15"/>
  <c r="H45" i="15" s="1"/>
  <c r="AF53" i="15"/>
  <c r="E53" i="15" s="1"/>
  <c r="Q6" i="15"/>
  <c r="BF37" i="15"/>
  <c r="J37" i="15" s="1"/>
  <c r="P6" i="15"/>
  <c r="AF28" i="15"/>
  <c r="E28" i="15" s="1"/>
  <c r="O6" i="15"/>
  <c r="AZ7" i="15"/>
  <c r="H7" i="15" s="1"/>
  <c r="CL36" i="15"/>
  <c r="R36" i="15" s="1"/>
  <c r="BQ28" i="15"/>
  <c r="L28" i="15" s="1"/>
  <c r="N6" i="15"/>
  <c r="BM19" i="15"/>
  <c r="CL43" i="15"/>
  <c r="R43" i="15" s="1"/>
  <c r="S34" i="15"/>
  <c r="C34" i="15"/>
  <c r="D34" i="15"/>
  <c r="C38" i="15"/>
  <c r="D38" i="15"/>
  <c r="S38" i="15"/>
  <c r="C54" i="15"/>
  <c r="D26" i="15"/>
  <c r="S26" i="15"/>
  <c r="C26" i="15"/>
  <c r="BM40" i="15"/>
  <c r="K40" i="15" s="1"/>
  <c r="S54" i="15"/>
  <c r="CL27" i="15"/>
  <c r="R27" i="15" s="1"/>
  <c r="D25" i="15"/>
  <c r="BQ36" i="15"/>
  <c r="L36" i="15" s="1"/>
  <c r="CL53" i="15"/>
  <c r="R53" i="15" s="1"/>
  <c r="BM32" i="15"/>
  <c r="K32" i="15" s="1"/>
  <c r="BM49" i="15"/>
  <c r="K49" i="15" s="1"/>
  <c r="AF16" i="15"/>
  <c r="E16" i="15" s="1"/>
  <c r="C8" i="15"/>
  <c r="S8" i="15"/>
  <c r="D8" i="15"/>
  <c r="CL14" i="15"/>
  <c r="R14" i="15" s="1"/>
  <c r="S25" i="15"/>
  <c r="BM23" i="15"/>
  <c r="AF31" i="15"/>
  <c r="E31" i="15" s="1"/>
  <c r="BQ32" i="15"/>
  <c r="L32" i="15" s="1"/>
  <c r="CL9" i="15"/>
  <c r="R9" i="15" s="1"/>
  <c r="CL18" i="15"/>
  <c r="R18" i="15" s="1"/>
  <c r="AZ48" i="15"/>
  <c r="H48" i="15" s="1"/>
  <c r="CL47" i="15"/>
  <c r="R47" i="15" s="1"/>
  <c r="AZ16" i="15"/>
  <c r="H16" i="15" s="1"/>
  <c r="C24" i="15"/>
  <c r="S24" i="15"/>
  <c r="D24" i="15"/>
  <c r="AZ19" i="15"/>
  <c r="H19" i="15" s="1"/>
  <c r="D30" i="15"/>
  <c r="S30" i="15"/>
  <c r="C30" i="15"/>
  <c r="AZ39" i="15"/>
  <c r="H39" i="15" s="1"/>
  <c r="BM55" i="15"/>
  <c r="K55" i="15" s="1"/>
  <c r="BM48" i="15"/>
  <c r="K48" i="15" s="1"/>
  <c r="AZ40" i="15"/>
  <c r="H40" i="15" s="1"/>
  <c r="BQ15" i="15"/>
  <c r="L15" i="15" s="1"/>
  <c r="BM14" i="15"/>
  <c r="K14" i="15" s="1"/>
  <c r="BF28" i="15"/>
  <c r="J28" i="15" s="1"/>
  <c r="BQ39" i="15"/>
  <c r="L39" i="15" s="1"/>
  <c r="BM20" i="15"/>
  <c r="BM43" i="15"/>
  <c r="K43" i="15" s="1"/>
  <c r="BQ7" i="15"/>
  <c r="L7" i="15" s="1"/>
  <c r="S22" i="15"/>
  <c r="AZ47" i="15"/>
  <c r="H47" i="15" s="1"/>
  <c r="AZ9" i="15"/>
  <c r="H9" i="15" s="1"/>
  <c r="BM47" i="15"/>
  <c r="K47" i="15" s="1"/>
  <c r="C22" i="15"/>
  <c r="AZ49" i="15"/>
  <c r="H49" i="15" s="1"/>
  <c r="BM9" i="15"/>
  <c r="K9" i="15" s="1"/>
  <c r="BQ31" i="15"/>
  <c r="L31" i="15" s="1"/>
  <c r="AZ18" i="15"/>
  <c r="H18" i="15" s="1"/>
  <c r="CL19" i="15"/>
  <c r="R19" i="15" s="1"/>
  <c r="AZ37" i="15"/>
  <c r="H37" i="15" s="1"/>
  <c r="BF9" i="15"/>
  <c r="J9" i="15" s="1"/>
  <c r="AZ36" i="15"/>
  <c r="H36" i="15" s="1"/>
  <c r="CL20" i="15"/>
  <c r="R20" i="15" s="1"/>
  <c r="AZ23" i="15"/>
  <c r="H23" i="15" s="1"/>
  <c r="BM51" i="15"/>
  <c r="K51" i="15" s="1"/>
  <c r="BM37" i="15"/>
  <c r="K37" i="15" s="1"/>
  <c r="CL12" i="15"/>
  <c r="R12" i="15" s="1"/>
  <c r="AZ55" i="15"/>
  <c r="H55" i="15" s="1"/>
  <c r="CL7" i="15"/>
  <c r="R7" i="15" s="1"/>
  <c r="AZ14" i="15"/>
  <c r="H14" i="15" s="1"/>
  <c r="BF36" i="15"/>
  <c r="J36" i="15" s="1"/>
  <c r="BM15" i="15"/>
  <c r="K15" i="15" s="1"/>
  <c r="CL31" i="15"/>
  <c r="R31" i="15" s="1"/>
  <c r="BF48" i="15"/>
  <c r="J48" i="15" s="1"/>
  <c r="AF7" i="15"/>
  <c r="E7" i="15" s="1"/>
  <c r="AF20" i="15"/>
  <c r="E20" i="15" s="1"/>
  <c r="AZ27" i="15"/>
  <c r="H27" i="15" s="1"/>
  <c r="D35" i="15"/>
  <c r="C35" i="15"/>
  <c r="S35" i="15"/>
  <c r="BM28" i="15"/>
  <c r="K28" i="15" s="1"/>
  <c r="AF44" i="15"/>
  <c r="E44" i="15" s="1"/>
  <c r="AZ32" i="15"/>
  <c r="H32" i="15" s="1"/>
  <c r="BQ44" i="15"/>
  <c r="L44" i="15" s="1"/>
  <c r="BM45" i="15"/>
  <c r="K45" i="15" s="1"/>
  <c r="CL23" i="15"/>
  <c r="R23" i="15" s="1"/>
  <c r="S11" i="15"/>
  <c r="AZ43" i="15"/>
  <c r="H43" i="15" s="1"/>
  <c r="AF51" i="15"/>
  <c r="E51" i="15" s="1"/>
  <c r="BF14" i="15"/>
  <c r="J14" i="15" s="1"/>
  <c r="C52" i="15"/>
  <c r="BM16" i="15"/>
  <c r="K16" i="15" s="1"/>
  <c r="BQ37" i="15"/>
  <c r="L37" i="15" s="1"/>
  <c r="AF19" i="15"/>
  <c r="E19" i="15" s="1"/>
  <c r="S17" i="15"/>
  <c r="C17" i="15"/>
  <c r="D17" i="15"/>
  <c r="G6" i="15"/>
  <c r="AF36" i="15"/>
  <c r="E36" i="15" s="1"/>
  <c r="AF55" i="15"/>
  <c r="E55" i="15" s="1"/>
  <c r="C11" i="15"/>
  <c r="D10" i="15"/>
  <c r="S10" i="15"/>
  <c r="C10" i="15"/>
  <c r="BF33" i="15"/>
  <c r="J33" i="15" s="1"/>
  <c r="D52" i="15"/>
  <c r="BM7" i="15"/>
  <c r="K7" i="15" s="1"/>
  <c r="F6" i="15"/>
  <c r="AF32" i="15"/>
  <c r="E32" i="15" s="1"/>
  <c r="AZ20" i="15"/>
  <c r="H20" i="15" s="1"/>
  <c r="CL48" i="15"/>
  <c r="R48" i="15" s="1"/>
  <c r="AZ21" i="15"/>
  <c r="H21" i="15" s="1"/>
  <c r="AZ51" i="15"/>
  <c r="H51" i="15" s="1"/>
  <c r="S46" i="15"/>
  <c r="C46" i="15"/>
  <c r="D46" i="15"/>
  <c r="CL33" i="15"/>
  <c r="R33" i="15" s="1"/>
  <c r="BQ9" i="15"/>
  <c r="L9" i="15" s="1"/>
  <c r="AZ28" i="15"/>
  <c r="H28" i="15" s="1"/>
  <c r="CL39" i="15"/>
  <c r="R39" i="15" s="1"/>
  <c r="CL28" i="15"/>
  <c r="R28" i="15" s="1"/>
  <c r="CL21" i="15"/>
  <c r="R21" i="15" s="1"/>
  <c r="AZ31" i="15"/>
  <c r="H31" i="15" s="1"/>
  <c r="BQ16" i="15"/>
  <c r="L16" i="15" s="1"/>
  <c r="BF20" i="15"/>
  <c r="J20" i="15" s="1"/>
  <c r="BF55" i="15"/>
  <c r="J55" i="15" s="1"/>
  <c r="AF37" i="15"/>
  <c r="E37" i="15" s="1"/>
  <c r="C13" i="15" l="1"/>
  <c r="S13" i="15"/>
  <c r="D41" i="15"/>
  <c r="D45" i="15"/>
  <c r="S41" i="15"/>
  <c r="S53" i="15"/>
  <c r="C41" i="15"/>
  <c r="S9" i="15"/>
  <c r="C27" i="15"/>
  <c r="D13" i="15"/>
  <c r="D12" i="15"/>
  <c r="C29" i="15"/>
  <c r="D53" i="15"/>
  <c r="C23" i="15"/>
  <c r="C53" i="15"/>
  <c r="D48" i="15"/>
  <c r="S49" i="15"/>
  <c r="S50" i="15"/>
  <c r="D50" i="15"/>
  <c r="C50" i="15"/>
  <c r="S40" i="15"/>
  <c r="S39" i="15"/>
  <c r="D28" i="15"/>
  <c r="C33" i="15"/>
  <c r="S12" i="15"/>
  <c r="D39" i="15"/>
  <c r="S29" i="15"/>
  <c r="D29" i="15"/>
  <c r="C12" i="15"/>
  <c r="D14" i="15"/>
  <c r="C40" i="15"/>
  <c r="S27" i="15"/>
  <c r="C9" i="15"/>
  <c r="D47" i="15"/>
  <c r="D23" i="15"/>
  <c r="D43" i="15"/>
  <c r="D40" i="15"/>
  <c r="R6" i="15"/>
  <c r="C43" i="15"/>
  <c r="S51" i="15"/>
  <c r="C51" i="15"/>
  <c r="D51" i="15"/>
  <c r="S43" i="15"/>
  <c r="D9" i="15"/>
  <c r="S31" i="15"/>
  <c r="D31" i="15"/>
  <c r="C31" i="15"/>
  <c r="S47" i="15"/>
  <c r="D27" i="15"/>
  <c r="S33" i="15"/>
  <c r="S48" i="15"/>
  <c r="C47" i="15"/>
  <c r="C37" i="15"/>
  <c r="D37" i="15"/>
  <c r="S37" i="15"/>
  <c r="S55" i="15"/>
  <c r="D55" i="15"/>
  <c r="C55" i="15"/>
  <c r="S20" i="15"/>
  <c r="D20" i="15"/>
  <c r="C20" i="15"/>
  <c r="D33" i="15"/>
  <c r="C48" i="15"/>
  <c r="D36" i="15"/>
  <c r="C36" i="15"/>
  <c r="S36" i="15"/>
  <c r="D7" i="15"/>
  <c r="C7" i="15"/>
  <c r="S7" i="15"/>
  <c r="E6" i="15"/>
  <c r="D44" i="15"/>
  <c r="C44" i="15"/>
  <c r="S44" i="15"/>
  <c r="S23" i="15"/>
  <c r="C39" i="15"/>
  <c r="H6" i="15"/>
  <c r="S14" i="15"/>
  <c r="C21" i="15"/>
  <c r="S21" i="15"/>
  <c r="D21" i="15"/>
  <c r="D19" i="15"/>
  <c r="C19" i="15"/>
  <c r="S19" i="15"/>
  <c r="C45" i="15"/>
  <c r="J6" i="15"/>
  <c r="C49" i="15"/>
  <c r="C14" i="15"/>
  <c r="S28" i="15"/>
  <c r="C32" i="15"/>
  <c r="D32" i="15"/>
  <c r="S32" i="15"/>
  <c r="S45" i="15"/>
  <c r="D49" i="15"/>
  <c r="S16" i="15"/>
  <c r="D16" i="15"/>
  <c r="C16" i="15"/>
  <c r="C28" i="15"/>
  <c r="D15" i="15"/>
  <c r="C15" i="15"/>
  <c r="S15" i="15"/>
  <c r="K6" i="15"/>
  <c r="S18" i="15"/>
  <c r="D18" i="15"/>
  <c r="C18" i="15"/>
  <c r="L6" i="15"/>
  <c r="L5" i="12" l="1"/>
  <c r="J5" i="12"/>
  <c r="I5" i="12"/>
  <c r="F5" i="12"/>
  <c r="C5" i="12"/>
  <c r="J24" i="5" l="1"/>
  <c r="C20" i="5" l="1"/>
  <c r="L15" i="5"/>
  <c r="J15" i="5"/>
  <c r="I15" i="5"/>
  <c r="F15" i="5"/>
  <c r="C15" i="5"/>
  <c r="C3" i="5" a="1"/>
  <c r="C3" i="5" s="1"/>
  <c r="R22" i="5" l="1"/>
  <c r="W18" i="5" s="1"/>
  <c r="R23" i="5"/>
  <c r="R24" i="5" l="1"/>
  <c r="AA18" i="5" s="1"/>
  <c r="W24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<sst xmlns="http://schemas.openxmlformats.org/spreadsheetml/2006/main" count="33958" uniqueCount="7410">
  <si>
    <t>MODÈLE CFA COCKTAIL</t>
  </si>
  <si>
    <t>HYBRIDE — "POSTIT"  NEUTRE + MOTEUR FIXE + FICHE CALCULÉE      EXPLICATIONS</t>
  </si>
  <si>
    <t>A Copier / Coller dans le "postit"</t>
  </si>
  <si>
    <t>Principe</t>
  </si>
  <si>
    <t xml:space="preserve">TABLE TECHNIQUE DES UNITÉS </t>
  </si>
  <si>
    <t>CLASSEMENT — SANS INCIDENCE SUR LE CALCUL</t>
  </si>
  <si>
    <t>CAPACITÉ INDICATIVE DES CONTENANTS</t>
  </si>
  <si>
    <t>1. PRINCIPE DE FONCTIONNEMENT</t>
  </si>
  <si>
    <t xml:space="preserve">2. Saisissez les PARAMÈTRES DE PRODUCTION </t>
  </si>
  <si>
    <t>UNITÉ</t>
  </si>
  <si>
    <t>FAMILLE</t>
  </si>
  <si>
    <t>COEF BASE</t>
  </si>
  <si>
    <t>BASE</t>
  </si>
  <si>
    <t>LIBELLÉ SORTIE</t>
  </si>
  <si>
    <t>TYPE colonne AE</t>
  </si>
  <si>
    <t>CONTENANT / VERRERIE</t>
  </si>
  <si>
    <t>CAPACITÉ cl</t>
  </si>
  <si>
    <t>"POSTIT"</t>
  </si>
  <si>
    <t>A16:M48 = valeurs de recette uniquement, aucune formule.</t>
  </si>
  <si>
    <t>cellules fond jaune colonne R</t>
  </si>
  <si>
    <t>L</t>
  </si>
  <si>
    <t>VOLUME</t>
  </si>
  <si>
    <t>ml</t>
  </si>
  <si>
    <t>UNITÉ DE VOLUME</t>
  </si>
  <si>
    <t>Bol(s)</t>
  </si>
  <si>
    <t>CHANGER</t>
  </si>
  <si>
    <t>Pour changer de cocktail, remplacer le "postit" ; le moteur reste en place.</t>
  </si>
  <si>
    <t>Nombre de cocktails à produire</t>
  </si>
  <si>
    <t>dl</t>
  </si>
  <si>
    <t>Collins</t>
  </si>
  <si>
    <t>MOTEUR</t>
  </si>
  <si>
    <t>Volume total à produire</t>
  </si>
  <si>
    <t>cl</t>
  </si>
  <si>
    <t>Copper Mug</t>
  </si>
  <si>
    <t>SORTIE</t>
  </si>
  <si>
    <t>Capacité du verre choisi</t>
  </si>
  <si>
    <t>Coupette</t>
  </si>
  <si>
    <t>PRIORITÉ</t>
  </si>
  <si>
    <t xml:space="preserve">LECTURE DES RÉSULTATS </t>
  </si>
  <si>
    <t>demi/L</t>
  </si>
  <si>
    <t>Coupette(s)</t>
  </si>
  <si>
    <t>RÈGLES</t>
  </si>
  <si>
    <t>quart/L</t>
  </si>
  <si>
    <t>Cup</t>
  </si>
  <si>
    <t>EXPLICATIONS</t>
  </si>
  <si>
    <t>tiers/L</t>
  </si>
  <si>
    <t>Cup(s)</t>
  </si>
  <si>
    <t>A COLLER</t>
  </si>
  <si>
    <t>2/3 de L</t>
  </si>
  <si>
    <t>Fantaisie(s)</t>
  </si>
  <si>
    <t>1/8 L</t>
  </si>
  <si>
    <t>Flûte</t>
  </si>
  <si>
    <t>8 ème/L</t>
  </si>
  <si>
    <t>Flute(s)</t>
  </si>
  <si>
    <t>Kg</t>
  </si>
  <si>
    <t>MASSE</t>
  </si>
  <si>
    <t>g</t>
  </si>
  <si>
    <t>UNITÉ DE MASSE</t>
  </si>
  <si>
    <t>glass</t>
  </si>
  <si>
    <t>ICI</t>
  </si>
  <si>
    <t xml:space="preserve">1 —"POSTIT" NEUTRE À REMPLACER COMPLÈTEMENT   ou  VALEURS UNIQUEMENT   </t>
  </si>
  <si>
    <t>2. PARAMÈTRES DE PRODUCTION</t>
  </si>
  <si>
    <t>3 — FICHE CALCULÉE</t>
  </si>
  <si>
    <t>LIRE / CONTRÔLER</t>
  </si>
  <si>
    <t>2 — MOTEUR FIXE</t>
  </si>
  <si>
    <t>NE PAS MODIFIER</t>
  </si>
  <si>
    <t>Goblet</t>
  </si>
  <si>
    <t>NOM</t>
  </si>
  <si>
    <t>AMERICANO</t>
  </si>
  <si>
    <t>AVEC / SANS</t>
  </si>
  <si>
    <t>AVEC ALCOOL</t>
  </si>
  <si>
    <t>MOMENT</t>
  </si>
  <si>
    <t>BEFORE DINNER</t>
  </si>
  <si>
    <t>SERVICE</t>
  </si>
  <si>
    <t>ON THE ROCKS</t>
  </si>
  <si>
    <t>Quart(s)Kg</t>
  </si>
  <si>
    <t>cocktail(s)</t>
  </si>
  <si>
    <t>COCKTAIL CALCULÉ</t>
  </si>
  <si>
    <t>STYLE</t>
  </si>
  <si>
    <t>Goblet Glass</t>
  </si>
  <si>
    <t>COULEUR</t>
  </si>
  <si>
    <t>rouge doux</t>
  </si>
  <si>
    <t>VERRERIE</t>
  </si>
  <si>
    <t>Tumbler (Old Fashioned)</t>
  </si>
  <si>
    <t>RÉF. POUR</t>
  </si>
  <si>
    <t>Tiers Kg</t>
  </si>
  <si>
    <t>L — optionnel / prioritaire</t>
  </si>
  <si>
    <t>TAV</t>
  </si>
  <si>
    <t>% vol.</t>
  </si>
  <si>
    <t>COÛT / COCKTAIL</t>
  </si>
  <si>
    <t>€</t>
  </si>
  <si>
    <t>FACTEUR</t>
  </si>
  <si>
    <t>MODE</t>
  </si>
  <si>
    <t>Wine Glass</t>
  </si>
  <si>
    <t>INTENSITÉ</t>
  </si>
  <si>
    <t>*** amer</t>
  </si>
  <si>
    <t>VOLUME SERVI</t>
  </si>
  <si>
    <t>Demi(s)Kg</t>
  </si>
  <si>
    <t>Facteur de production</t>
  </si>
  <si>
    <t>x</t>
  </si>
  <si>
    <t>VOL. RECETTE RÉF.</t>
  </si>
  <si>
    <t>VOL. / COCKTAIL</t>
  </si>
  <si>
    <t>NB COCKTAILS</t>
  </si>
  <si>
    <t>Highball</t>
  </si>
  <si>
    <t>Cuil(s).Café</t>
  </si>
  <si>
    <t>Volume liquide recette réf.</t>
  </si>
  <si>
    <t>CAPACITÉ</t>
  </si>
  <si>
    <t>cuil(s). café</t>
  </si>
  <si>
    <t>MESURE / DOSE</t>
  </si>
  <si>
    <t>Highball(s)</t>
  </si>
  <si>
    <t>TYPE</t>
  </si>
  <si>
    <t>Apéritif classique à base de vermouth et de Bitter</t>
  </si>
  <si>
    <t>Cuil(s).Thé</t>
  </si>
  <si>
    <t>Volume liquide / cocktail</t>
  </si>
  <si>
    <t>CONTRÔLE VERRERIE</t>
  </si>
  <si>
    <t>cuil(s). thé</t>
  </si>
  <si>
    <t>Hurricane</t>
  </si>
  <si>
    <t>Cuil(s).Soupe</t>
  </si>
  <si>
    <t>TAV théorique</t>
  </si>
  <si>
    <t>cuil(s). soupe</t>
  </si>
  <si>
    <t>hurricane(s)</t>
  </si>
  <si>
    <t>AUTEUR</t>
  </si>
  <si>
    <t>Destination Cocktails</t>
  </si>
  <si>
    <t>SOURCE</t>
  </si>
  <si>
    <t>https://www.destinationcocktails.fr/recette/americano-cocktail/</t>
  </si>
  <si>
    <t>Trait(s)</t>
  </si>
  <si>
    <t>Coût total</t>
  </si>
  <si>
    <t>AUTRE</t>
  </si>
  <si>
    <t>unité</t>
  </si>
  <si>
    <t>trait(s)</t>
  </si>
  <si>
    <t>INAO(s)</t>
  </si>
  <si>
    <t>COMPOSITION</t>
  </si>
  <si>
    <t xml:space="preserve">DONNÉES BRUTES DE LA RECETTE </t>
  </si>
  <si>
    <t>QT. Suffisante</t>
  </si>
  <si>
    <t>Coût / cocktail</t>
  </si>
  <si>
    <t>€ / cocktail</t>
  </si>
  <si>
    <t>COÛT TOTAL</t>
  </si>
  <si>
    <t>"POSTIT" ACTIF</t>
  </si>
  <si>
    <t>Qt. suffisante</t>
  </si>
  <si>
    <t>UNITÉ / DÉNOMBREMENT</t>
  </si>
  <si>
    <t>Irish Coffee Glass</t>
  </si>
  <si>
    <t>INGRÉDIENT / GARNITURE</t>
  </si>
  <si>
    <t>QTÉ RÉF.</t>
  </si>
  <si>
    <t>% VOL.</t>
  </si>
  <si>
    <t>DENSITÉ</t>
  </si>
  <si>
    <t>RÈGLE</t>
  </si>
  <si>
    <t>PRIX € / L-Kg-pièce</t>
  </si>
  <si>
    <t>ALLERGÈNE</t>
  </si>
  <si>
    <t>NOTE</t>
  </si>
  <si>
    <t>LIBRE 1</t>
  </si>
  <si>
    <t>LIBRE 2</t>
  </si>
  <si>
    <t>QS</t>
  </si>
  <si>
    <t>Nombre théorique de cocktails</t>
  </si>
  <si>
    <t>MOTEUR FIXE</t>
  </si>
  <si>
    <t>Martini</t>
  </si>
  <si>
    <t>Bitter Campari</t>
  </si>
  <si>
    <t>PROP</t>
  </si>
  <si>
    <t>Bouteille(s)</t>
  </si>
  <si>
    <t>Mode actif</t>
  </si>
  <si>
    <t>INGRÉDIENT</t>
  </si>
  <si>
    <t>RÉF.</t>
  </si>
  <si>
    <t>QTÉ PROD. BASE</t>
  </si>
  <si>
    <t>AFFICHAGE</t>
  </si>
  <si>
    <t>RATIO /10</t>
  </si>
  <si>
    <t>QTÉ AUTRE</t>
  </si>
  <si>
    <t>ALCOOL PUR ml</t>
  </si>
  <si>
    <t>TAV PRODUIT %</t>
  </si>
  <si>
    <t>COÛT €</t>
  </si>
  <si>
    <t>REPÈRE</t>
  </si>
  <si>
    <t>COEF</t>
  </si>
  <si>
    <t>QTÉ BASE RÉF.</t>
  </si>
  <si>
    <t>QTÉ SORTIE</t>
  </si>
  <si>
    <t>UNITÉ SORTIE</t>
  </si>
  <si>
    <t>CONTRÔLE</t>
  </si>
  <si>
    <t>bouteille(s)</t>
  </si>
  <si>
    <t>Mug(s)</t>
  </si>
  <si>
    <t>Vermouth italien</t>
  </si>
  <si>
    <t>Boite(s)</t>
  </si>
  <si>
    <t>boite(s)</t>
  </si>
  <si>
    <t>Nick &amp; Nora Glass</t>
  </si>
  <si>
    <t>Eau gazeuse</t>
  </si>
  <si>
    <t>Feuille(s)</t>
  </si>
  <si>
    <t>feuille(s)</t>
  </si>
  <si>
    <t>Pint Glass (UK)</t>
  </si>
  <si>
    <t>Tranche(s)</t>
  </si>
  <si>
    <t>Goutte(s)</t>
  </si>
  <si>
    <t>goutte(s)</t>
  </si>
  <si>
    <t>Pint Glass (US)</t>
  </si>
  <si>
    <t>Glace</t>
  </si>
  <si>
    <t>Grain(s)</t>
  </si>
  <si>
    <t>grain(s)</t>
  </si>
  <si>
    <t>Piscine(s)</t>
  </si>
  <si>
    <t>Oeuf(s)</t>
  </si>
  <si>
    <t>œuf(s)</t>
  </si>
  <si>
    <t>Pony(s)</t>
  </si>
  <si>
    <t>Blanc(s) d'œuf(s)</t>
  </si>
  <si>
    <t>blanc(s) d'œuf</t>
  </si>
  <si>
    <t>Shot</t>
  </si>
  <si>
    <t>à quoi servent les règles =PROP = proportionnel ; F/FIXE = fixe ; QS = quantité suffisante. Voir colonne AC</t>
  </si>
  <si>
    <t>Jaune(s) d'œuf(s)</t>
  </si>
  <si>
    <t>jaune(s) d'œuf</t>
  </si>
  <si>
    <t>Stockholm(s)</t>
  </si>
  <si>
    <t>Pièce(s)</t>
  </si>
  <si>
    <t>TOTAL</t>
  </si>
  <si>
    <t>pièce(s)</t>
  </si>
  <si>
    <t>tasse(s).Thé</t>
  </si>
  <si>
    <t>Préparer le verre et le poste de travail.</t>
  </si>
  <si>
    <t>Unité(s)</t>
  </si>
  <si>
    <t>TECHNIQUE</t>
  </si>
  <si>
    <t>REPRISE DU "POSTIT"</t>
  </si>
  <si>
    <t>unité(s)</t>
  </si>
  <si>
    <t>Trembler(s)</t>
  </si>
  <si>
    <t>Remplir le verre de glaçons selon la fiche.</t>
  </si>
  <si>
    <t>Branche(s)</t>
  </si>
  <si>
    <t>à quoi servent les règles =PROP = proportionnel ; F/FIXE = fixe ; QS = quantité suffisante.</t>
  </si>
  <si>
    <t>branche(s)</t>
  </si>
  <si>
    <t>Tumbler (Highball)</t>
  </si>
  <si>
    <t>Doser le Bitter Campari.</t>
  </si>
  <si>
    <t>Gousse(s)</t>
  </si>
  <si>
    <t>ces règles servent à indiquer comment une quantité doit réagir lorsque la recette est recalculée.</t>
  </si>
  <si>
    <t>gousse(s)</t>
  </si>
  <si>
    <t>Doser le vermouth italien.</t>
  </si>
  <si>
    <t>Règle</t>
  </si>
  <si>
    <t>Signification</t>
  </si>
  <si>
    <t>Effet dans le moteur</t>
  </si>
  <si>
    <t>Exemple</t>
  </si>
  <si>
    <t>tranche(s)</t>
  </si>
  <si>
    <t>V.liqueur(s)</t>
  </si>
  <si>
    <t>Ajouter l’eau gazeuse.</t>
  </si>
  <si>
    <t>Pincée(s)</t>
  </si>
  <si>
    <t>Proportionnel</t>
  </si>
  <si>
    <t>La quantité augmente ou diminue avec le nombre de portions / volume produit</t>
  </si>
  <si>
    <t>4 cl de rhum pour 1 cocktail → 40 cl pour 10</t>
  </si>
  <si>
    <t>pincée(s)</t>
  </si>
  <si>
    <t>Verre INAO</t>
  </si>
  <si>
    <t>Mélanger avec régularité sans casser excessivement la glace.</t>
  </si>
  <si>
    <t>Zeste(s)</t>
  </si>
  <si>
    <t>zeste(s)</t>
  </si>
  <si>
    <t>Verre(s)</t>
  </si>
  <si>
    <t>Ajouter la garniture d’orange.</t>
  </si>
  <si>
    <t>jus citron</t>
  </si>
  <si>
    <t>Fixe</t>
  </si>
  <si>
    <t>La quantité reste identique, quel que soit le facteur de calcul</t>
  </si>
  <si>
    <t>1 décoration, 1 récipient, 1 matériel</t>
  </si>
  <si>
    <t>Blended(s)</t>
  </si>
  <si>
    <t>blended(s)</t>
  </si>
  <si>
    <t>BOISSON / PRÉPARATION</t>
  </si>
  <si>
    <t>Contrôler le volume servi, la présentation et servir immédiatement.</t>
  </si>
  <si>
    <t>jus orange</t>
  </si>
  <si>
    <t>Smoothie(s)</t>
  </si>
  <si>
    <t>smoothie(s)</t>
  </si>
  <si>
    <t>bar(s) spoon</t>
  </si>
  <si>
    <t>Quantité suffisante</t>
  </si>
  <si>
    <t>Pas de calcul numérique ; on conserve l'indication qualitative</t>
  </si>
  <si>
    <t>glaçons QS, sucre QS, eau QS</t>
  </si>
  <si>
    <t>Biere(s)</t>
  </si>
  <si>
    <t>biere(s)</t>
  </si>
  <si>
    <t>BOISSON / INGRÉDIENT</t>
  </si>
  <si>
    <t>MATÉRIEL / VERRERIE</t>
  </si>
  <si>
    <t>1</t>
  </si>
  <si>
    <t>MATÉRIEL</t>
  </si>
  <si>
    <t>Leur intérêt</t>
  </si>
  <si>
    <t>2</t>
  </si>
  <si>
    <t>Doseur / jigger ; cuillère à mélange ; bec verseur ; pince à glaçons</t>
  </si>
  <si>
    <t>Elles évitent qu’Excel applique le même calcul à tout.</t>
  </si>
  <si>
    <t>Pimm's</t>
  </si>
  <si>
    <t>pimm's</t>
  </si>
  <si>
    <t>LIEN</t>
  </si>
  <si>
    <t>Cobblers</t>
  </si>
  <si>
    <t>Exemple pour un cocktail :</t>
  </si>
  <si>
    <t>VDN (s)</t>
  </si>
  <si>
    <t>vdn (s)</t>
  </si>
  <si>
    <t>FIN "POSTIT"</t>
  </si>
  <si>
    <t>Colada(s)</t>
  </si>
  <si>
    <r>
      <t xml:space="preserve">Rhum : </t>
    </r>
    <r>
      <rPr>
        <b/>
        <sz val="11"/>
        <color theme="1"/>
        <rFont val="Calibri"/>
        <family val="2"/>
      </rPr>
      <t>4 cl — PROP</t>
    </r>
  </si>
  <si>
    <t>bol(s)</t>
  </si>
  <si>
    <t>CONTENANT</t>
  </si>
  <si>
    <t>FIN FICHE CALCULÉE</t>
  </si>
  <si>
    <r>
      <t xml:space="preserve">Jus d’orange : </t>
    </r>
    <r>
      <rPr>
        <b/>
        <sz val="11"/>
        <color theme="1"/>
        <rFont val="Calibri"/>
        <family val="2"/>
      </rPr>
      <t>8 cl — PROP</t>
    </r>
  </si>
  <si>
    <t>copper mug</t>
  </si>
  <si>
    <t>collins 2</t>
  </si>
  <si>
    <r>
      <t xml:space="preserve">Glaçons : </t>
    </r>
    <r>
      <rPr>
        <b/>
        <sz val="11"/>
        <color theme="1"/>
        <rFont val="Calibri"/>
        <family val="2"/>
      </rPr>
      <t>QS</t>
    </r>
  </si>
  <si>
    <t>coupette(s)</t>
  </si>
  <si>
    <t>Cooler(s)</t>
  </si>
  <si>
    <t>Indicateur</t>
  </si>
  <si>
    <t>À quoi sert-il ?</t>
  </si>
  <si>
    <r>
      <t xml:space="preserve">Shaker : </t>
    </r>
    <r>
      <rPr>
        <b/>
        <sz val="11"/>
        <color theme="1"/>
        <rFont val="Calibri"/>
        <family val="2"/>
      </rPr>
      <t>1 — FIXE</t>
    </r>
  </si>
  <si>
    <t>cup</t>
  </si>
  <si>
    <t>Coefficient utilisé pour agrandir ou réduire la recette de référence. Exemple : facteur 10 = recette multipliée par 10.</t>
  </si>
  <si>
    <r>
      <t xml:space="preserve">Pour </t>
    </r>
    <r>
      <rPr>
        <b/>
        <sz val="11"/>
        <color theme="1"/>
        <rFont val="Calibri"/>
        <family val="2"/>
      </rPr>
      <t>20 cocktails</t>
    </r>
    <r>
      <rPr>
        <sz val="11"/>
        <color theme="1"/>
        <rFont val="Calibri"/>
        <family val="2"/>
      </rPr>
      <t>, le moteur doit calculer le rhum et le jus, mais il ne doit surtout pas produire :</t>
    </r>
  </si>
  <si>
    <t>cup(s)</t>
  </si>
  <si>
    <t>Volume total des ingrédients liquides prévu dans la recette d’origine, avant adaptation.</t>
  </si>
  <si>
    <t>20 shakers</t>
  </si>
  <si>
    <t>fantaisie(s)</t>
  </si>
  <si>
    <t>Quantité totale de liquide servie pour un cocktail. Elle permet notamment de vérifier la cohérence avec le verre choisi.</t>
  </si>
  <si>
    <t>20 quantités suffisantes de glaçons</t>
  </si>
  <si>
    <t>flute(s)</t>
  </si>
  <si>
    <r>
      <t>Titre alcoométrique volumique théorique</t>
    </r>
    <r>
      <rPr>
        <sz val="12"/>
        <color theme="1"/>
        <rFont val="Calibri"/>
        <family val="2"/>
      </rPr>
      <t xml:space="preserve"> du cocktail, exprimé en % vol. Il estime le degré d’alcool final à partir des boissons alcoolisées et des volumes utilisés.</t>
    </r>
  </si>
  <si>
    <r>
      <t xml:space="preserve">Donc cette colonne est une </t>
    </r>
    <r>
      <rPr>
        <b/>
        <sz val="11"/>
        <color theme="1"/>
        <rFont val="Calibri"/>
        <family val="2"/>
      </rPr>
      <t>règle de comportement du moteur</t>
    </r>
    <r>
      <rPr>
        <sz val="11"/>
        <color theme="1"/>
        <rFont val="Calibri"/>
        <family val="2"/>
      </rPr>
      <t>.</t>
    </r>
  </si>
  <si>
    <t>Daisy(s)</t>
  </si>
  <si>
    <t>Coût estimé de l’ensemble de la production calculée.</t>
  </si>
  <si>
    <t>goblet glass</t>
  </si>
  <si>
    <t>Dash(s)</t>
  </si>
  <si>
    <t>Coût estimé pour un cocktail individuel.</t>
  </si>
  <si>
    <t>highball(s)</t>
  </si>
  <si>
    <t>Degustation(s)</t>
  </si>
  <si>
    <t>Nombre de cocktails pouvant être obtenus avec le volume total calculé, selon le volume prévu pour un cocktail.</t>
  </si>
  <si>
    <t>Digestif(s)</t>
  </si>
  <si>
    <r>
      <t xml:space="preserve">Indique quelle méthode de calcul pilote actuellement la fiche : par exemple calcul à partir du </t>
    </r>
    <r>
      <rPr>
        <b/>
        <sz val="12"/>
        <color theme="1"/>
        <rFont val="Calibri"/>
        <family val="2"/>
      </rPr>
      <t>nombre de cocktails</t>
    </r>
    <r>
      <rPr>
        <sz val="12"/>
        <color theme="1"/>
        <rFont val="Calibri"/>
        <family val="2"/>
      </rPr>
      <t xml:space="preserve">, d’un </t>
    </r>
    <r>
      <rPr>
        <b/>
        <sz val="12"/>
        <color theme="1"/>
        <rFont val="Calibri"/>
        <family val="2"/>
      </rPr>
      <t>volume à produire</t>
    </r>
    <r>
      <rPr>
        <sz val="12"/>
        <color theme="1"/>
        <rFont val="Calibri"/>
        <family val="2"/>
      </rPr>
      <t xml:space="preserve"> ou d’un autre paramètre prévu dans le moteur.</t>
    </r>
  </si>
  <si>
    <t>inao(s)</t>
  </si>
  <si>
    <t>Double(s) Shot</t>
  </si>
  <si>
    <t>Contenance indicative du verre sélectionné, généralement exprimée en cl. Elle permet de comparer le volume du cocktail avec la capacité réelle du contenant.</t>
  </si>
  <si>
    <t>irish coffee glass</t>
  </si>
  <si>
    <t>Egg(s) Nog</t>
  </si>
  <si>
    <t>mug(s)</t>
  </si>
  <si>
    <t>nick &amp; nora glass</t>
  </si>
  <si>
    <t>Fixe(s)</t>
  </si>
  <si>
    <t>pint glass (uk)</t>
  </si>
  <si>
    <t>Fizz(s)</t>
  </si>
  <si>
    <t>pint glass (us)</t>
  </si>
  <si>
    <t>Flip(s)</t>
  </si>
  <si>
    <t>piscine(s)</t>
  </si>
  <si>
    <t>pony(s)</t>
  </si>
  <si>
    <t>stockholm(s)</t>
  </si>
  <si>
    <t>tasse(s).thé</t>
  </si>
  <si>
    <t>trembler(s)</t>
  </si>
  <si>
    <t>Hot(s) Drink</t>
  </si>
  <si>
    <t>tumbler (highball)</t>
  </si>
  <si>
    <t>tumbler (old fashioned)</t>
  </si>
  <si>
    <t>v.liqueur(s)</t>
  </si>
  <si>
    <t>verre(s)</t>
  </si>
  <si>
    <t>jet</t>
  </si>
  <si>
    <t>wine glass</t>
  </si>
  <si>
    <t>jigger</t>
  </si>
  <si>
    <t>jigger(s)</t>
  </si>
  <si>
    <t>dash(s)</t>
  </si>
  <si>
    <t>Julep(s)</t>
  </si>
  <si>
    <t>double(s) shot</t>
  </si>
  <si>
    <t>Margarita(s)</t>
  </si>
  <si>
    <t>Martini(s)</t>
  </si>
  <si>
    <t>mesure</t>
  </si>
  <si>
    <t>Mule(s)</t>
  </si>
  <si>
    <t>Once(s)-OZ</t>
  </si>
  <si>
    <t>once(s)-oz</t>
  </si>
  <si>
    <t>Neat(s)</t>
  </si>
  <si>
    <t>pint(s) (UK)</t>
  </si>
  <si>
    <t>pint(s) (uk)</t>
  </si>
  <si>
    <t>pint(s) (US)</t>
  </si>
  <si>
    <t>pint(s) (us)</t>
  </si>
  <si>
    <t>Old(s) Fashioned</t>
  </si>
  <si>
    <t>Pony(s) Shot</t>
  </si>
  <si>
    <t>pony(s) shot</t>
  </si>
  <si>
    <t>shot(s)</t>
  </si>
  <si>
    <t>Splash(s)</t>
  </si>
  <si>
    <t>splash(s)</t>
  </si>
  <si>
    <t>US(cp)</t>
  </si>
  <si>
    <t>us(cp)</t>
  </si>
  <si>
    <t>degustation(s)</t>
  </si>
  <si>
    <t>MODE DE SERVICE</t>
  </si>
  <si>
    <t>digestif(s)</t>
  </si>
  <si>
    <t>hot(s) drink</t>
  </si>
  <si>
    <t>neat(s)</t>
  </si>
  <si>
    <t>rocks</t>
  </si>
  <si>
    <t>Pousse(s)-Café</t>
  </si>
  <si>
    <t>Shooter(s)</t>
  </si>
  <si>
    <t>shooter(s)</t>
  </si>
  <si>
    <t>Punch(s)</t>
  </si>
  <si>
    <t>Short (s)Drink</t>
  </si>
  <si>
    <t>short (s)drink</t>
  </si>
  <si>
    <t>Rickey(s)</t>
  </si>
  <si>
    <t>Straight(s)</t>
  </si>
  <si>
    <t>straight(s)</t>
  </si>
  <si>
    <t>Virgin(s)</t>
  </si>
  <si>
    <t>virgin(s)</t>
  </si>
  <si>
    <t>cobblers</t>
  </si>
  <si>
    <t>STYLE / FAMILLE</t>
  </si>
  <si>
    <t>colada(s)</t>
  </si>
  <si>
    <t>collins</t>
  </si>
  <si>
    <t>sling(s)</t>
  </si>
  <si>
    <t>cooler(s)</t>
  </si>
  <si>
    <t>sour(s)</t>
  </si>
  <si>
    <t>daisy(s)</t>
  </si>
  <si>
    <t>Sparkling(s)</t>
  </si>
  <si>
    <t>egg(s) nog</t>
  </si>
  <si>
    <t>fixe(s)</t>
  </si>
  <si>
    <t>fizz(s)</t>
  </si>
  <si>
    <t>flip(s)</t>
  </si>
  <si>
    <t>julep(s)</t>
  </si>
  <si>
    <t>Tiki(s)</t>
  </si>
  <si>
    <t>margarita(s)</t>
  </si>
  <si>
    <t>Toddy(s)</t>
  </si>
  <si>
    <t>martini(s)</t>
  </si>
  <si>
    <t>mule(s)</t>
  </si>
  <si>
    <t>old(s) fashioned</t>
  </si>
  <si>
    <t>pousse(s)-café</t>
  </si>
  <si>
    <t>punch(s)</t>
  </si>
  <si>
    <t>rickey(s)</t>
  </si>
  <si>
    <t>sparkling(s)</t>
  </si>
  <si>
    <t>tiki(s)</t>
  </si>
  <si>
    <t>toddy(s)</t>
  </si>
  <si>
    <t>MODE D’EMPLOI CFA</t>
  </si>
  <si>
    <t>FINALITÉ</t>
  </si>
  <si>
    <t>Produire, comprendre et contrôler une recette de cocktail avec une base interchangeable et un moteur stable.</t>
  </si>
  <si>
    <t>À QUOI SERT CE DOCUMENT ?</t>
  </si>
  <si>
    <t>Objectif métier</t>
  </si>
  <si>
    <t>Adapter automatiquement une recette de cocktail au nombre de cocktails ou à un volume total de production.</t>
  </si>
  <si>
    <t>Objectif pédagogique</t>
  </si>
  <si>
    <t>Faire comprendre la structure d’une fiche technique : données brutes, règle de calcul, conversion, coût, alcool, verrerie et contrôle.</t>
  </si>
  <si>
    <t>La recette reste un "POSTIT" neutre. Le moteur de calcul reste fixe. La fiche calculée restitue les résultats sans modifier la recette d’origine.</t>
  </si>
  <si>
    <t>ARCHITECTURE DU MODÈLE</t>
  </si>
  <si>
    <t>PARTIE</t>
  </si>
  <si>
    <t>ZONE</t>
  </si>
  <si>
    <t>RÔLE</t>
  </si>
  <si>
    <t>CE QUE L’APPRENANT FAIT</t>
  </si>
  <si>
    <t>À RETENIR</t>
  </si>
  <si>
    <t>Lit, complète ou remplace les valeurs.</t>
  </si>
  <si>
    <t>PARAMÈTRES</t>
  </si>
  <si>
    <t>Saisit un nombre de cocktails ou un volume total.</t>
  </si>
  <si>
    <t>Convertit, multiplie, calcule alcool, coût et contrôles.</t>
  </si>
  <si>
    <t>Observe seulement.</t>
  </si>
  <si>
    <t>Ne jamais copier, coller ou modifier cette zone.</t>
  </si>
  <si>
    <t>FICHE CALCULÉE</t>
  </si>
  <si>
    <t>Lit, analyse et vérifie les résultats.</t>
  </si>
  <si>
    <t>OBJECTIFS PÉDAGOGIQUES POSSIBLES EN CFA</t>
  </si>
  <si>
    <t>Lire une fiche technique</t>
  </si>
  <si>
    <t>Repérer produit, quantité, unité, technique et verrerie.</t>
  </si>
  <si>
    <t>Faire reformuler la recette avant tout calcul.</t>
  </si>
  <si>
    <t>Comprendre la proportionnalité</t>
  </si>
  <si>
    <t>Passer d’une recette de référence à une production réelle.</t>
  </si>
  <si>
    <t>Comparer facteur, quantité de référence et quantité produite.</t>
  </si>
  <si>
    <t>3</t>
  </si>
  <si>
    <t>Travailler les unités</t>
  </si>
  <si>
    <t>Lire cl, ml, L et unités à la pièce.</t>
  </si>
  <si>
    <t>Vérifier la cohérence entre quantité et unité.</t>
  </si>
  <si>
    <t>4</t>
  </si>
  <si>
    <t>Aborder le coût</t>
  </si>
  <si>
    <t>Identifier prix unitaire, coût total et coût par cocktail.</t>
  </si>
  <si>
    <t>Faire expliquer ce qui fait varier le coût.</t>
  </si>
  <si>
    <t>5</t>
  </si>
  <si>
    <t>Aborder l’alcool</t>
  </si>
  <si>
    <t>Lire TAV produit, alcool pur et TAV théorique.</t>
  </si>
  <si>
    <t>Relier dosage, volume final et degré alcoolique.</t>
  </si>
  <si>
    <t>6</t>
  </si>
  <si>
    <t>Contrôler une production</t>
  </si>
  <si>
    <t>Vérifier volume servi, verrerie, quantité, coût et résultat final.</t>
  </si>
  <si>
    <t>L’apprenant doit justifier le résultat, pas seulement le lire.</t>
  </si>
  <si>
    <t>MODE D’EMPLOI PÉDAGOGIQUE — PAS À PAS</t>
  </si>
  <si>
    <t>ÉTAPE</t>
  </si>
  <si>
    <t>ACTION</t>
  </si>
  <si>
    <t>POURQUOI</t>
  </si>
  <si>
    <t>CONTRÔLE À FAIRE</t>
  </si>
  <si>
    <t>Utiliser un collage de valeurs.</t>
  </si>
  <si>
    <t>C’est le mode le plus simple pour une production par nombre de verres.</t>
  </si>
  <si>
    <t>Permet de raisonner en volume global de production.</t>
  </si>
  <si>
    <t>7</t>
  </si>
  <si>
    <t>Elle transforme les données brutes en fiche exploitable.</t>
  </si>
  <si>
    <t>8</t>
  </si>
  <si>
    <t>Contrôler TAV, coût, unités, volume et verrerie.</t>
  </si>
  <si>
    <t>Un résultat calculé n’est pas automatiquement un résultat métier acceptable.</t>
  </si>
  <si>
    <t>9</t>
  </si>
  <si>
    <t>Faire expliquer le résultat par l’apprenant.</t>
  </si>
  <si>
    <t>L’outil doit soutenir le raisonnement, pas remplacer la compréhension.</t>
  </si>
  <si>
    <t>Demander : « pourquoi ce résultat ? »</t>
  </si>
  <si>
    <t>MODE D’EMPLOI EXPRESS — À COPIER / COLLER DANS UNE FICHE</t>
  </si>
  <si>
    <t>1.</t>
  </si>
  <si>
    <t>2.</t>
  </si>
  <si>
    <t>3.</t>
  </si>
  <si>
    <t>4.</t>
  </si>
  <si>
    <t>5.</t>
  </si>
  <si>
    <t>Contrôler TAV, coût, unité, volume servi et capacité de verrerie avant production.</t>
  </si>
  <si>
    <t>6.</t>
  </si>
  <si>
    <t>POINTS DE VIGILANCE</t>
  </si>
  <si>
    <t>Valeurs uniquement.</t>
  </si>
  <si>
    <t>Toujours vérifier.</t>
  </si>
  <si>
    <t>Une formule correcte peut produire un résultat incohérent si les données de départ sont mauvaises.</t>
  </si>
  <si>
    <t>TRANSMISSION CFA</t>
  </si>
  <si>
    <t>Faire verbaliser.</t>
  </si>
  <si>
    <t>L’apprenant doit être capable d’expliquer la règle, l’unité et le contrôle effectué.</t>
  </si>
  <si>
    <t>Remplacer uniquement le ""Postit"" A16:M48 à partir de la cellule rouge ICI. Le moteur AH:AS reste fixe ; V:AF restitue les calculs.</t>
  </si>
  <si>
    <t>FICHIER</t>
  </si>
  <si>
    <t>voir unités AU:AY ; capacités BB:BC</t>
  </si>
  <si>
    <t>AH:AS = conversions, facteur, quantités, alcool, coûts et contrôles.</t>
  </si>
  <si>
    <t>V:AF = fiche calculée ; le cœur du résultat ingrédients est V27:AF34.</t>
  </si>
  <si>
    <t>Si R18 contient un volume total, il est prioritaire sur R17.</t>
  </si>
  <si>
    <t>PROP = proportionnel ; FIXE = fixe ; QS = quantité suffisante. F reste accepté pour compatibilité.</t>
  </si>
  <si>
    <t>Voir le tableau colonnes V : AF</t>
  </si>
  <si>
    <t>Ces règles indiquent comment chaque quantité réagit au recalcul. Voir AH36:AR44.</t>
  </si>
  <si>
    <t>Unités à saisir en colonne E du "Postit" ; aide en O5:O121 ; table technique AU:AY.</t>
  </si>
  <si>
    <t>Trait(s) décor</t>
  </si>
  <si>
    <t>trait(s) décor</t>
  </si>
  <si>
    <t>AH:AS — NE JAMAIS COPIER / COLLER</t>
  </si>
  <si>
    <t>TECHNIQUE   FAIT PARTIE DU "Postit"</t>
  </si>
  <si>
    <t>FIXE (F accepté)</t>
  </si>
  <si>
    <t>COCKTAIL — "Postit" + MOTEUR FIXE + FICHE CALCULÉE</t>
  </si>
  <si>
    <t>"Postit"</t>
  </si>
  <si>
    <t>A16:M48</t>
  </si>
  <si>
    <t>Contient uniquement les données de la recette : identité, ingrédients, technique et matériel.</t>
  </si>
  <si>
    <t>Aucune formule dans le "Postit" après audit.</t>
  </si>
  <si>
    <t>Q16:S27</t>
  </si>
  <si>
    <t>Pilote la production ; les cellules de saisie sont R17 et R18.</t>
  </si>
  <si>
    <t>R18 est prioritaire s’il est renseigné.</t>
  </si>
  <si>
    <t>AH25:AS34</t>
  </si>
  <si>
    <t>V16:AF48</t>
  </si>
  <si>
    <t>Restitue la recette adaptée, les contrôles, la technique et le matériel.</t>
  </si>
  <si>
    <t>V27:AF34 = résultats ingrédients + total.</t>
  </si>
  <si>
    <t>TABLES TECHNIQUES</t>
  </si>
  <si>
    <t>AU3:AZ121 / BB3:BC40</t>
  </si>
  <si>
    <t>Unités, familles, coefficients, classement et capacités de verrerie.</t>
  </si>
  <si>
    <t>Consulte si nécessaire.</t>
  </si>
  <si>
    <t>Les clés d’unités doivent être uniques dans AU.</t>
  </si>
  <si>
    <t>Choisir ou préparer un "Postit" de recette.</t>
  </si>
  <si>
    <t>Le "Postit" doit être autonome et contenir uniquement des valeurs.</t>
  </si>
  <si>
    <t>Aucune formule dans A16:M48.</t>
  </si>
  <si>
    <t>Remplacer uniquement A16:M48 par le nouveau "Postit".</t>
  </si>
  <si>
    <t>Le moteur AH:AS doit rester identique d’une recette à l’autre.</t>
  </si>
  <si>
    <t>Vérifier quantité, unité, % vol., règle et prix. La densité est informative dans cette version.</t>
  </si>
  <si>
    <t>Le moteur dépend directement des données actives.</t>
  </si>
  <si>
    <t>Unité présente dans AU5:AU121 ; utiliser PROP / FIXE / QS. F reste accepté.</t>
  </si>
  <si>
    <t>Saisir le nombre de cocktails en R17.</t>
  </si>
  <si>
    <t>R18 doit rester vide si ce mode est utilisé.</t>
  </si>
  <si>
    <t>Ou saisir un volume total en litres en R18.</t>
  </si>
  <si>
    <t>R18 devient prioritaire sur R17.</t>
  </si>
  <si>
    <t>Lire les indicateurs en R19:R27.</t>
  </si>
  <si>
    <t>Ils indiquent le facteur, les volumes, le TAV, les coûts, le nombre théorique, le mode et la capacité du verre.</t>
  </si>
  <si>
    <t>Le mode actif est en R26.</t>
  </si>
  <si>
    <t>Lire la fiche calculée V16:AF48.</t>
  </si>
  <si>
    <t>Contrôler surtout V27:AF34.</t>
  </si>
  <si>
    <t>Comparer le volume servi à la capacité du verre.</t>
  </si>
  <si>
    <t>Remplacer uniquement le ""Postit"" A16:M48 ; coller des valeurs, jamais des formules.</t>
  </si>
  <si>
    <t>Saisir le nombre de cocktails en R17 OU le volume total en R18 ; R18 est prioritaire.</t>
  </si>
  <si>
    <t>Ne jamais copier/coller ni modifier le moteur AH25:AS34.</t>
  </si>
  <si>
    <t>Lire la fiche calculée V16:AF48 ; V27:AF34 contient le cœur des quantités calculées.</t>
  </si>
  <si>
    <t>Règles : PROP = proportionnel ; FIXE = fixe ; QS = quantité suffisante. F est accepté pour compatibilité.</t>
  </si>
  <si>
    <t>La zone A16:M48 doit pouvoir être déplacée ou remplacée sans transporter de logique de calcul.</t>
  </si>
  <si>
    <t>Zone fixe AH25:AS34.</t>
  </si>
  <si>
    <t>Ne pas supprimer de lignes, colonnes ou formules dans cette zone.</t>
  </si>
  <si>
    <t>R18 prioritaire.</t>
  </si>
  <si>
    <t>Si R18 est renseigné, R17 n’est plus la consigne principale. Éviter FIXE sur un liquide si l’objectif est un volume final exact.</t>
  </si>
  <si>
    <t>Information actuelle.</t>
  </si>
  <si>
    <t>La colonne G du POSTIT n’est utilisée par aucune formule du moteur ; elle reste informative dans cette version.</t>
  </si>
  <si>
    <t>UNITÉS</t>
  </si>
  <si>
    <t>Clé exacte.</t>
  </si>
  <si>
    <t>Le moteur recherche l’unité par correspondance exacte dans AU5:AU121. Une clé dupliquée peut fausser le résultat ; les doublons sont à éviter.</t>
  </si>
  <si>
    <t>Ce document est composé de : This document is composed of: Este documento se compone de:</t>
  </si>
  <si>
    <t>avec valeurs ou texte-with values or text-con valores o texto</t>
  </si>
  <si>
    <t>cellules vides - empty cells - celdas vacías</t>
  </si>
  <si>
    <t>FR / Français Capacité / Volume</t>
  </si>
  <si>
    <t>lignes - rows - filas</t>
  </si>
  <si>
    <t>(Je fournis la base. Vous construisez votre outil)</t>
  </si>
  <si>
    <t xml:space="preserve">🔸 Capacité du verre : volume total que peut </t>
  </si>
  <si>
    <t>colonnes - columns - columnas</t>
  </si>
  <si>
    <t>contenir le verre à ras bord (ex. flûte = 15 cl)</t>
  </si>
  <si>
    <t>❻ Degré d'alcool (ti) (%)</t>
  </si>
  <si>
    <t xml:space="preserve">🔹 Volume servi : quantité réellement </t>
  </si>
  <si>
    <t>versée (ex. 10 cl dans une flûte de 15 cl)</t>
  </si>
  <si>
    <t>💡 Pourquoi c’est important :</t>
  </si>
  <si>
    <t>degrés d’alcool (TAV) et les densités approximatives des produits</t>
  </si>
  <si>
    <t>Évite les débordements</t>
  </si>
  <si>
    <t>Avec ou sans Alcool</t>
  </si>
  <si>
    <t>❼ Densité ρ Rhô</t>
  </si>
  <si>
    <t>❷</t>
  </si>
  <si>
    <t>Couleur dominante à coller</t>
  </si>
  <si>
    <t>Auteur</t>
  </si>
  <si>
    <t>Meilleure présentation</t>
  </si>
  <si>
    <t xml:space="preserve">Quand </t>
  </si>
  <si>
    <t>Composition</t>
  </si>
  <si>
    <t xml:space="preserve">FAMILLE à coller </t>
  </si>
  <si>
    <t>Permet d’ajuster les quantités</t>
  </si>
  <si>
    <t>VOUS</t>
  </si>
  <si>
    <t>Abricotine Garnier</t>
  </si>
  <si>
    <t>Couleur : Jaune pâle</t>
  </si>
  <si>
    <t xml:space="preserve">🧾 Exemple : Verre = Flûte 15 cl </t>
  </si>
  <si>
    <t>Advocaat</t>
  </si>
  <si>
    <t>Couleur : Jaune</t>
  </si>
  <si>
    <t>Volume servi = 10 cl</t>
  </si>
  <si>
    <t>Aguardiente</t>
  </si>
  <si>
    <t>Couleur : Transparent</t>
  </si>
  <si>
    <t>Type de cocktail (sans alcool)</t>
  </si>
  <si>
    <t>Famille</t>
  </si>
  <si>
    <t>Description</t>
  </si>
  <si>
    <t xml:space="preserve">✅ Conseil : Indiquez toujours </t>
  </si>
  <si>
    <t>****</t>
  </si>
  <si>
    <t>Amaretto</t>
  </si>
  <si>
    <t>Couleur : Brun</t>
  </si>
  <si>
    <t>SANS ALCOOL</t>
  </si>
  <si>
    <t>les deux dans vos recettes</t>
  </si>
  <si>
    <t>**</t>
  </si>
  <si>
    <t>Angostura</t>
  </si>
  <si>
    <t>Couleur : Brun foncé</t>
  </si>
  <si>
    <t>Anisette</t>
  </si>
  <si>
    <t>VIRGIN</t>
  </si>
  <si>
    <t>virgin</t>
  </si>
  <si>
    <t>Cocktail sans alcool (ex. virgin mojito, virgin colada)</t>
  </si>
  <si>
    <t>EN / English Capacity / Volume</t>
  </si>
  <si>
    <t>Applejack</t>
  </si>
  <si>
    <t>Couleur : Ambré</t>
  </si>
  <si>
    <t xml:space="preserve">🔸 Glass capacity: total volume the glass </t>
  </si>
  <si>
    <t>Aquavit</t>
  </si>
  <si>
    <t>can hold to the brim (e.g., flute = 15 cl)</t>
  </si>
  <si>
    <t>Arak</t>
  </si>
  <si>
    <t xml:space="preserve">🔹 Volume served: actual liquid </t>
  </si>
  <si>
    <t>Armagnac</t>
  </si>
  <si>
    <t>AFTER DINNER</t>
  </si>
  <si>
    <t>poured (e.g., 10 cl in a 15 cl flute)</t>
  </si>
  <si>
    <t>Arquebuse</t>
  </si>
  <si>
    <t>Couleur : Vert</t>
  </si>
  <si>
    <t>💡 Why it matters:</t>
  </si>
  <si>
    <t>Aurum</t>
  </si>
  <si>
    <t>Couleur : Orangé</t>
  </si>
  <si>
    <t>ALL DAY (ou fancy)</t>
  </si>
  <si>
    <t>On the Rocks</t>
  </si>
  <si>
    <t>Avec glaçons</t>
  </si>
  <si>
    <t>Avoids spillage</t>
  </si>
  <si>
    <t>B and B</t>
  </si>
  <si>
    <t>Couleur : Brun doré</t>
  </si>
  <si>
    <t>Improves presentation</t>
  </si>
  <si>
    <t>Baileys</t>
  </si>
  <si>
    <t>Couleur : Beige</t>
  </si>
  <si>
    <t>Helps adjust serving sizes</t>
  </si>
  <si>
    <t>Bénédictine</t>
  </si>
  <si>
    <t>Couleur : Doré</t>
  </si>
  <si>
    <t>NEAT</t>
  </si>
  <si>
    <t>Neat</t>
  </si>
  <si>
    <t>Pur, sans glace ni eau</t>
  </si>
  <si>
    <t>🧾 Example: Glass = Flute 15 cl</t>
  </si>
  <si>
    <t>Couleur : Rouge vif</t>
  </si>
  <si>
    <t>Volume served = 10 cl</t>
  </si>
  <si>
    <t>Bitter Cinzano</t>
  </si>
  <si>
    <t>Couleur : Rouge</t>
  </si>
  <si>
    <t>✅ Tip: Always indicate</t>
  </si>
  <si>
    <t>Bitter San Pellegrino</t>
  </si>
  <si>
    <t>BLENDED</t>
  </si>
  <si>
    <t>Blended</t>
  </si>
  <si>
    <t>Mixé avec glace</t>
  </si>
  <si>
    <t xml:space="preserve"> both in your recipes</t>
  </si>
  <si>
    <t>Blackberry Brandy</t>
  </si>
  <si>
    <t>Couleur : Violet foncé</t>
  </si>
  <si>
    <t>Bourbon</t>
  </si>
  <si>
    <t>ES / Español Capacidad / Volumen</t>
  </si>
  <si>
    <t>Brandy</t>
  </si>
  <si>
    <t>FROZEN</t>
  </si>
  <si>
    <t>Frozen</t>
  </si>
  <si>
    <t>Granité, très glacé</t>
  </si>
  <si>
    <t xml:space="preserve">🔸 Capacidad del vaso: volumen total que puede </t>
  </si>
  <si>
    <t>Brandy Abricot</t>
  </si>
  <si>
    <t>Couleur : Orange</t>
  </si>
  <si>
    <t>contener hasta el borde (ej.: flauta = 15 cl)</t>
  </si>
  <si>
    <t>Brandy pêche Courvoisier</t>
  </si>
  <si>
    <t xml:space="preserve">🔹 Volumen servido: cantidad realmente </t>
  </si>
  <si>
    <t>Calvados</t>
  </si>
  <si>
    <t>Couleur : Jaune ambré</t>
  </si>
  <si>
    <t>STRAIGHT UP</t>
  </si>
  <si>
    <t>Straight Up</t>
  </si>
  <si>
    <t>Shaké/remué, sans glace</t>
  </si>
  <si>
    <t>vertida (ej.: 10 cl en una flauta de 15 cl)</t>
  </si>
  <si>
    <t>Campari</t>
  </si>
  <si>
    <t>💡 Por qué es importante:</t>
  </si>
  <si>
    <t>Cassis</t>
  </si>
  <si>
    <t>Evita derrames</t>
  </si>
  <si>
    <t>Chartreuse</t>
  </si>
  <si>
    <t>Couleur : Vert fluo</t>
  </si>
  <si>
    <t>LAYERED</t>
  </si>
  <si>
    <t>Layered</t>
  </si>
  <si>
    <t>Versé en couches</t>
  </si>
  <si>
    <t>Mejora la presentación</t>
  </si>
  <si>
    <t>Cherry</t>
  </si>
  <si>
    <t>Couleur : Rouge foncé</t>
  </si>
  <si>
    <t>Permite ajustar cantidades</t>
  </si>
  <si>
    <t xml:space="preserve">🧾 Ejemplo: Vaso = Flauta 15 cl </t>
  </si>
  <si>
    <t>Cinzano</t>
  </si>
  <si>
    <t>BUILT</t>
  </si>
  <si>
    <t>Built</t>
  </si>
  <si>
    <t>Directement dans le verre</t>
  </si>
  <si>
    <t>Volumen servido = 10 cl</t>
  </si>
  <si>
    <t>Cognac</t>
  </si>
  <si>
    <t>gin</t>
  </si>
  <si>
    <t xml:space="preserve">✅ Consejo: Siempre indica </t>
  </si>
  <si>
    <t>Cointreau</t>
  </si>
  <si>
    <t>Couleur : Rouge ou Rose</t>
  </si>
  <si>
    <t>Grand Marnier</t>
  </si>
  <si>
    <t>ambas medidas en tus recetas</t>
  </si>
  <si>
    <t>Cordial</t>
  </si>
  <si>
    <t>Couleur : Jaune clair</t>
  </si>
  <si>
    <t>SHAKEN</t>
  </si>
  <si>
    <t>Shaken</t>
  </si>
  <si>
    <t>Mélangé au shaker</t>
  </si>
  <si>
    <t>Crème de banane</t>
  </si>
  <si>
    <t>Crème de menthe blanche</t>
  </si>
  <si>
    <t>Curaçao</t>
  </si>
  <si>
    <t>Couleur : Bleu</t>
  </si>
  <si>
    <t>STIRRED</t>
  </si>
  <si>
    <t>Stirred</t>
  </si>
  <si>
    <t>Remué à la cuillère</t>
  </si>
  <si>
    <t>Curaçao bleu</t>
  </si>
  <si>
    <t>Curaçao Orange</t>
  </si>
  <si>
    <t>Drambuie</t>
  </si>
  <si>
    <t>STRAIGHT</t>
  </si>
  <si>
    <t>straight</t>
  </si>
  <si>
    <t>Boisson servie pure, sans glaçon, ni eau, ni mélange</t>
  </si>
  <si>
    <t>Dubonnet</t>
  </si>
  <si>
    <t>Eau de vie de Dantzig</t>
  </si>
  <si>
    <t>Eau-de-vie de poire Williamine</t>
  </si>
  <si>
    <t>Styles / Familles historiques</t>
  </si>
  <si>
    <t>Eau-de-vie de quetsche</t>
  </si>
  <si>
    <t>Couleur : Jaune doré</t>
  </si>
  <si>
    <t>Galliano</t>
  </si>
  <si>
    <t>Couleur : Vert pâle</t>
  </si>
  <si>
    <t>Génépi</t>
  </si>
  <si>
    <t>SOUR</t>
  </si>
  <si>
    <t>Sour</t>
  </si>
  <si>
    <t>Citron + sucre + alcool</t>
  </si>
  <si>
    <t>Gentiane</t>
  </si>
  <si>
    <t>Gin</t>
  </si>
  <si>
    <t>Glayva</t>
  </si>
  <si>
    <t>FIZZ</t>
  </si>
  <si>
    <t>Fizz</t>
  </si>
  <si>
    <t>Sour + soda</t>
  </si>
  <si>
    <t>Grappa Julia</t>
  </si>
  <si>
    <t>Irish Mist</t>
  </si>
  <si>
    <t>FIXES</t>
  </si>
  <si>
    <t>Fix</t>
  </si>
  <si>
    <t>Fizz court, sur glace</t>
  </si>
  <si>
    <t>Izarra</t>
  </si>
  <si>
    <t>Jerez/Xérès/Sherry</t>
  </si>
  <si>
    <t>Kirsch</t>
  </si>
  <si>
    <t>CRUSTAS</t>
  </si>
  <si>
    <t>Crustas</t>
  </si>
  <si>
    <t>Sour + bordure sucre + zeste</t>
  </si>
  <si>
    <t>Kümmel</t>
  </si>
  <si>
    <t>Lillet Rouge</t>
  </si>
  <si>
    <t>Liqueur de cacao</t>
  </si>
  <si>
    <t>COBBLERS</t>
  </si>
  <si>
    <t>Vin/spiritueux + fruits + glace pilée</t>
  </si>
  <si>
    <t>Liqueur de café</t>
  </si>
  <si>
    <t>Liqueur de menthe</t>
  </si>
  <si>
    <t>Jaune clair</t>
  </si>
  <si>
    <t>Liqueur de poire</t>
  </si>
  <si>
    <t>DAISIES</t>
  </si>
  <si>
    <t>Daisies</t>
  </si>
  <si>
    <t>Sour + liqueur + soda</t>
  </si>
  <si>
    <t>Liqueur de Scotch Whisky</t>
  </si>
  <si>
    <t>Liqueur des Îles tropic</t>
  </si>
  <si>
    <t>Couleur : Rose</t>
  </si>
  <si>
    <t>Liqueur fraises des bois</t>
  </si>
  <si>
    <t>Couleur : Orange vif</t>
  </si>
  <si>
    <t>COOLERS</t>
  </si>
  <si>
    <t>Coolers</t>
  </si>
  <si>
    <t>Long drink léger et fruité</t>
  </si>
  <si>
    <t>Liqueur fruits de la passion</t>
  </si>
  <si>
    <t>Liqueur Irish Mist</t>
  </si>
  <si>
    <t>Lochan Ora</t>
  </si>
  <si>
    <t>Couleur : Brun rouge</t>
  </si>
  <si>
    <t>COLLINS</t>
  </si>
  <si>
    <t>Long drink : alcool + citron + soda</t>
  </si>
  <si>
    <t>Madère</t>
  </si>
  <si>
    <t>Mandarine</t>
  </si>
  <si>
    <t>Mandarine Napoléon</t>
  </si>
  <si>
    <t>EGG NOGS</t>
  </si>
  <si>
    <t>Egg Nogs</t>
  </si>
  <si>
    <t>Œuf + lait/crème + alcool</t>
  </si>
  <si>
    <t>Maraschino</t>
  </si>
  <si>
    <t>Maraschino Bols</t>
  </si>
  <si>
    <t>Marasquin</t>
  </si>
  <si>
    <t>CUPS</t>
  </si>
  <si>
    <t>Cups</t>
  </si>
  <si>
    <t>Punchs à base de fruits</t>
  </si>
  <si>
    <t>Marie Brizard</t>
  </si>
  <si>
    <t>Couleur : Pâle doré</t>
  </si>
  <si>
    <t>Menthe blanche</t>
  </si>
  <si>
    <t>HIGH BALLS</t>
  </si>
  <si>
    <t>Highballs</t>
  </si>
  <si>
    <t>Alcool + soft (whisky-soda...)</t>
  </si>
  <si>
    <t>Metaxa</t>
  </si>
  <si>
    <t>Noilly Prat</t>
  </si>
  <si>
    <t>Couleur : Violet</t>
  </si>
  <si>
    <t>Parfait Amour</t>
  </si>
  <si>
    <t>PUNCHES</t>
  </si>
  <si>
    <t>Punches</t>
  </si>
  <si>
    <t>Boissons collectives aux fruits et alcool</t>
  </si>
  <si>
    <t>Peach Brandy</t>
  </si>
  <si>
    <t>Peppermint</t>
  </si>
  <si>
    <t>Pernod</t>
  </si>
  <si>
    <t>Couleur : Rouge brun</t>
  </si>
  <si>
    <t>Bases alcooliques</t>
  </si>
  <si>
    <t>Pineau des Charentes</t>
  </si>
  <si>
    <t>Pippermint blanc</t>
  </si>
  <si>
    <t>BASE GIN</t>
  </si>
  <si>
    <t>Base Gin</t>
  </si>
  <si>
    <t>Gin Tonic, Negroni, Martini</t>
  </si>
  <si>
    <t>Pippermint vert (Get 27)</t>
  </si>
  <si>
    <t>Porto</t>
  </si>
  <si>
    <t>Couleur : Rouge clair</t>
  </si>
  <si>
    <t>Pousse Rapière</t>
  </si>
  <si>
    <t>BASE VODKA</t>
  </si>
  <si>
    <t>Base Vodka</t>
  </si>
  <si>
    <t>Moscow Mule, Bloody Mary</t>
  </si>
  <si>
    <t>Prunelle</t>
  </si>
  <si>
    <t>Prunellia</t>
  </si>
  <si>
    <t>Couleur : Rose clair</t>
  </si>
  <si>
    <t>Punch Pamplemousse</t>
  </si>
  <si>
    <t>BASE TEQUILA</t>
  </si>
  <si>
    <t>Base Tequila</t>
  </si>
  <si>
    <t>Margarita, Tequila Sunrise</t>
  </si>
  <si>
    <t>Ratafia</t>
  </si>
  <si>
    <t>Rhum ambré</t>
  </si>
  <si>
    <t>Rhum blanc</t>
  </si>
  <si>
    <t>BASE RHUM</t>
  </si>
  <si>
    <t>Base Rhum</t>
  </si>
  <si>
    <t>Mojito, Daiquiri</t>
  </si>
  <si>
    <t>Rosso Antico</t>
  </si>
  <si>
    <t>Rye Whisky</t>
  </si>
  <si>
    <t>Sabra</t>
  </si>
  <si>
    <t>Jaune doré</t>
  </si>
  <si>
    <t>BASE WHISKY</t>
  </si>
  <si>
    <t>Base Whisky</t>
  </si>
  <si>
    <t>Old Fashioned, Whisky Sour</t>
  </si>
  <si>
    <t>Saint Raphaël blanc</t>
  </si>
  <si>
    <t>Saké</t>
  </si>
  <si>
    <t>Sambuca</t>
  </si>
  <si>
    <t>BASE COGNAC</t>
  </si>
  <si>
    <t>Base Cognac</t>
  </si>
  <si>
    <t>Sidecar, Stinger</t>
  </si>
  <si>
    <t>Sherry</t>
  </si>
  <si>
    <t>Sloe Gin</t>
  </si>
  <si>
    <t>Southern Comfort</t>
  </si>
  <si>
    <t>BASE CHAMPAGNE</t>
  </si>
  <si>
    <t>Base Champagne</t>
  </si>
  <si>
    <t>French 75, Mimosa</t>
  </si>
  <si>
    <t>Spumante Brut</t>
  </si>
  <si>
    <t>Suze</t>
  </si>
  <si>
    <t>Tequila</t>
  </si>
  <si>
    <t>BASE VERMOUTH</t>
  </si>
  <si>
    <t>Base Vermouth</t>
  </si>
  <si>
    <t>Americano, Manhattan</t>
  </si>
  <si>
    <t>Triple sec</t>
  </si>
  <si>
    <t>Vermouth blanc</t>
  </si>
  <si>
    <t>Vermouth rouge</t>
  </si>
  <si>
    <t>Verveine du Velay</t>
  </si>
  <si>
    <t>Vieille Cure</t>
  </si>
  <si>
    <t>Vodka</t>
  </si>
  <si>
    <t>Whiskey.Whiskies.Whisky</t>
  </si>
  <si>
    <t>Xérès</t>
  </si>
  <si>
    <t>FIN</t>
  </si>
  <si>
    <t>Tranche d'orange*</t>
  </si>
  <si>
    <t>Copier dans la barre de formules colonne AD</t>
  </si>
  <si>
    <t>⓿❶❷❸❹❺❻❼❽❾❿⓫⓬⓭⓮⓯⓰⓱⓲⓳⓴ ►◄ ▲ ▼</t>
  </si>
  <si>
    <t>⓪①②③④⑤⑥⑦⑧⑨⑩⑪⑫⑬⑭⑮⑯⑰⑱⑲⑳ ' ! " # &amp;</t>
  </si>
  <si>
    <t>▲ ALLERGÈNE</t>
  </si>
  <si>
    <t>jaune(s)d'œuf(s)*</t>
  </si>
  <si>
    <t>? = Rechercher - Vérifier    |  Exemple &gt;   Vin = sulfites?   | jaune(s)d'œuf(s)*</t>
  </si>
  <si>
    <t>DÉTECTION DES ALLERGÈNES POUR CARTES DE RESTAURANT</t>
  </si>
  <si>
    <t>Gluten</t>
  </si>
  <si>
    <t>*glu</t>
  </si>
  <si>
    <t>Arachides</t>
  </si>
  <si>
    <t>*ara</t>
  </si>
  <si>
    <t>Céleri</t>
  </si>
  <si>
    <t>*cel</t>
  </si>
  <si>
    <t>Lupin</t>
  </si>
  <si>
    <t>*lup</t>
  </si>
  <si>
    <t>ID</t>
  </si>
  <si>
    <t>Famille allergène</t>
  </si>
  <si>
    <t>Statut</t>
  </si>
  <si>
    <t>Terme métier / ingrédient</t>
  </si>
  <si>
    <t>Terme normalisé</t>
  </si>
  <si>
    <t>Métiers concernés</t>
  </si>
  <si>
    <t>Commentaire</t>
  </si>
  <si>
    <t>Source URL</t>
  </si>
  <si>
    <t>Version</t>
  </si>
  <si>
    <t>Saisir uniquement les cellules fond blanc en colonne B.              Résultat colonne C   * = allergène certain ;                                   ? = composition à contrôler.</t>
  </si>
  <si>
    <t>Crustacés</t>
  </si>
  <si>
    <t>*cru</t>
  </si>
  <si>
    <t>Soja</t>
  </si>
  <si>
    <t>*soj</t>
  </si>
  <si>
    <t>Moutarde</t>
  </si>
  <si>
    <t>*mou</t>
  </si>
  <si>
    <t>Mollusques</t>
  </si>
  <si>
    <t>*mol</t>
  </si>
  <si>
    <t>R0001</t>
  </si>
  <si>
    <t>Céréales contenant du gluten</t>
  </si>
  <si>
    <t>ALERTE</t>
  </si>
  <si>
    <t>ale</t>
  </si>
  <si>
    <t>Tous métiers</t>
  </si>
  <si>
    <t>Céréale contenant du gluten ou préparation courante.</t>
  </si>
  <si>
    <t>https://eur-lex.europa.eu/legal-content/FR/TXT/?uri=CELEX:32011R1169</t>
  </si>
  <si>
    <t>2011</t>
  </si>
  <si>
    <t>Formules individuelles scindées : recherches par blocs de 100 termes ; exclusions neutralisées avant détection.</t>
  </si>
  <si>
    <t>Œufs</t>
  </si>
  <si>
    <t>*oeu</t>
  </si>
  <si>
    <t>Lait</t>
  </si>
  <si>
    <t>*lai</t>
  </si>
  <si>
    <t>Sésame</t>
  </si>
  <si>
    <t>*ses</t>
  </si>
  <si>
    <t>R0002</t>
  </si>
  <si>
    <t>amidon de blé</t>
  </si>
  <si>
    <t>amidon de ble</t>
  </si>
  <si>
    <t>Fin du document cellule &gt;End of the “cell” document &gt;Fin del documento “celda” &gt;</t>
  </si>
  <si>
    <t>Poissons</t>
  </si>
  <si>
    <t xml:space="preserve">*poi </t>
  </si>
  <si>
    <t>Fruits à coque</t>
  </si>
  <si>
    <t>*noi</t>
  </si>
  <si>
    <t>Sulfites</t>
  </si>
  <si>
    <t>*sul</t>
  </si>
  <si>
    <t>R0003</t>
  </si>
  <si>
    <t>avoine</t>
  </si>
  <si>
    <t>* = allergène détecté certain  |  ? = composition / allergène à vérifier  |  AFFICHAGE CARTE : un seul statut, jamais * ?</t>
  </si>
  <si>
    <t>Le mot « farine » tout seul est  trop imprécis. je préfère le classer ? à vérifier, sauf si la fiche recette désigne clairement une farine contenant du gluten.</t>
  </si>
  <si>
    <t>R0004</t>
  </si>
  <si>
    <t>baguette</t>
  </si>
  <si>
    <t>N°</t>
  </si>
  <si>
    <t>INTITULÉ DU PLAT / BOISSON / PRODUIT  Texte saisi ou à coller dans cette colonne</t>
  </si>
  <si>
    <t>AFFICHAGE CARTE Texte à Copier / coller (collage spécial 1.2.3.Valeur)</t>
  </si>
  <si>
    <t>ALLERGÈNES CERTAINS Allergènes détectés (à coller)</t>
  </si>
  <si>
    <t>ALLERGÈNES À VÉRIFIER</t>
  </si>
  <si>
    <t>Texte source</t>
  </si>
  <si>
    <t>Nettoyage caractères</t>
  </si>
  <si>
    <t>Accents 1</t>
  </si>
  <si>
    <t>Accents 2</t>
  </si>
  <si>
    <t>Ponctuation 1</t>
  </si>
  <si>
    <t>Ponctuation 2</t>
  </si>
  <si>
    <t>Texte normalisé</t>
  </si>
  <si>
    <t>Céréales c ALER 1</t>
  </si>
  <si>
    <t>Céréales c ALER 2</t>
  </si>
  <si>
    <t>Céréales c EXCL 1</t>
  </si>
  <si>
    <t>Céréales c SUSP 1</t>
  </si>
  <si>
    <t>Crustacés ALER 1</t>
  </si>
  <si>
    <t>Crustacés ALER 2</t>
  </si>
  <si>
    <t>Œufs ALER 1</t>
  </si>
  <si>
    <t>Œufs SUSP 1</t>
  </si>
  <si>
    <t>Œufs EXCL 1</t>
  </si>
  <si>
    <t>Poissons ALER 1</t>
  </si>
  <si>
    <t>Poissons ALER 2</t>
  </si>
  <si>
    <t>Poissons ALER 3</t>
  </si>
  <si>
    <t>Poissons ALER 4</t>
  </si>
  <si>
    <t>Poissons ALER 5</t>
  </si>
  <si>
    <t>Poissons ALER 6</t>
  </si>
  <si>
    <t>Poissons ALER 7</t>
  </si>
  <si>
    <t>Poissons ALER 8</t>
  </si>
  <si>
    <t>Poissons ALER 9</t>
  </si>
  <si>
    <t>Poissons ALER 10</t>
  </si>
  <si>
    <t>Poissons EXCL 1</t>
  </si>
  <si>
    <t>Poissons SUSP 1</t>
  </si>
  <si>
    <t>Arachides ALER 1</t>
  </si>
  <si>
    <t>Soja ALER 1</t>
  </si>
  <si>
    <t>Soja EXCL 1</t>
  </si>
  <si>
    <t>Soja SUSP 1</t>
  </si>
  <si>
    <t>Lait ALER 1</t>
  </si>
  <si>
    <t>Lait ALER 2</t>
  </si>
  <si>
    <t>Lait ALER 3</t>
  </si>
  <si>
    <t>Lait EXCL 1</t>
  </si>
  <si>
    <t>Lait SUSP 1</t>
  </si>
  <si>
    <t>Lait EXCL SUSP</t>
  </si>
  <si>
    <t>Fruits à c ALER 1</t>
  </si>
  <si>
    <t>Fruits à c EXCL 1</t>
  </si>
  <si>
    <t>Fruits à c SUSP 1</t>
  </si>
  <si>
    <t>Céleri ALER 1</t>
  </si>
  <si>
    <t>Céleri SUSP 1</t>
  </si>
  <si>
    <t>Moutarde ALER 1</t>
  </si>
  <si>
    <t>Moutarde SUSP 1</t>
  </si>
  <si>
    <t>Sésame ALER 1</t>
  </si>
  <si>
    <t>Sésame SUSP 1</t>
  </si>
  <si>
    <t>Sulfites ALER 1</t>
  </si>
  <si>
    <t>Sulfites SUSP 1</t>
  </si>
  <si>
    <t>Lupin ALER 1</t>
  </si>
  <si>
    <t>Lupin SUSP 1</t>
  </si>
  <si>
    <t>Mollusques ALER 1</t>
  </si>
  <si>
    <t>Mollusques ALER 2</t>
  </si>
  <si>
    <t>Mollusques ALER 3</t>
  </si>
  <si>
    <t>Mollusques EXCL 1</t>
  </si>
  <si>
    <t>Mollusques SUSP 1</t>
  </si>
  <si>
    <t>R0005</t>
  </si>
  <si>
    <t>barley</t>
  </si>
  <si>
    <t>Cuisine/Bar/Charcuterie/Glacier/Traiteur</t>
  </si>
  <si>
    <t>Synonyme métier, terme de carte ou dénomination courante.</t>
  </si>
  <si>
    <t>2026</t>
  </si>
  <si>
    <t>R0006</t>
  </si>
  <si>
    <t>bière</t>
  </si>
  <si>
    <t>biere</t>
  </si>
  <si>
    <t>R0007</t>
  </si>
  <si>
    <t>bière blanche</t>
  </si>
  <si>
    <t>biere blanche</t>
  </si>
  <si>
    <t>R0008</t>
  </si>
  <si>
    <t>bière blonde</t>
  </si>
  <si>
    <t>biere blonde</t>
  </si>
  <si>
    <t>Beurre</t>
  </si>
  <si>
    <t>R0009</t>
  </si>
  <si>
    <t>bière brune</t>
  </si>
  <si>
    <t>biere brune</t>
  </si>
  <si>
    <t>R0010</t>
  </si>
  <si>
    <t>biscotte</t>
  </si>
  <si>
    <t>R0011</t>
  </si>
  <si>
    <t>biscottes</t>
  </si>
  <si>
    <t>R0012</t>
  </si>
  <si>
    <t>biscuit</t>
  </si>
  <si>
    <t>R0013</t>
  </si>
  <si>
    <t>biscuits</t>
  </si>
  <si>
    <t>R0014</t>
  </si>
  <si>
    <t>blé</t>
  </si>
  <si>
    <t>ble</t>
  </si>
  <si>
    <t>R0015</t>
  </si>
  <si>
    <t>boulgour</t>
  </si>
  <si>
    <t>R0016</t>
  </si>
  <si>
    <t>bread</t>
  </si>
  <si>
    <t>R0017</t>
  </si>
  <si>
    <t>breadcrumbs</t>
  </si>
  <si>
    <t>R0018</t>
  </si>
  <si>
    <t>bretzel</t>
  </si>
  <si>
    <t>R0019</t>
  </si>
  <si>
    <t>bretzels</t>
  </si>
  <si>
    <t>R0020</t>
  </si>
  <si>
    <t>brick</t>
  </si>
  <si>
    <t>R0021</t>
  </si>
  <si>
    <t>brioche</t>
  </si>
  <si>
    <t>R0022</t>
  </si>
  <si>
    <t>bulgur</t>
  </si>
  <si>
    <t>R0023</t>
  </si>
  <si>
    <t>cake</t>
  </si>
  <si>
    <t>R0024</t>
  </si>
  <si>
    <t>cakes</t>
  </si>
  <si>
    <t>R0025</t>
  </si>
  <si>
    <t>chapelure</t>
  </si>
  <si>
    <t>R0026</t>
  </si>
  <si>
    <t>choux pâtissier</t>
  </si>
  <si>
    <t>choux patissier</t>
  </si>
  <si>
    <t>R0027</t>
  </si>
  <si>
    <t>cookie</t>
  </si>
  <si>
    <t>R0028</t>
  </si>
  <si>
    <t>cookies</t>
  </si>
  <si>
    <t>R0029</t>
  </si>
  <si>
    <t>couscous</t>
  </si>
  <si>
    <t>R0030</t>
  </si>
  <si>
    <t>cracker</t>
  </si>
  <si>
    <t>R0031</t>
  </si>
  <si>
    <t>crackers</t>
  </si>
  <si>
    <t>R0032</t>
  </si>
  <si>
    <t>crêpe</t>
  </si>
  <si>
    <t>crepe</t>
  </si>
  <si>
    <t>R0033</t>
  </si>
  <si>
    <t>crêpes</t>
  </si>
  <si>
    <t>crepes</t>
  </si>
  <si>
    <t>R0034</t>
  </si>
  <si>
    <t>croissant</t>
  </si>
  <si>
    <t>R0035</t>
  </si>
  <si>
    <t>croûton</t>
  </si>
  <si>
    <t>crouton</t>
  </si>
  <si>
    <t>R0036</t>
  </si>
  <si>
    <t>croûtons</t>
  </si>
  <si>
    <t>croutons</t>
  </si>
  <si>
    <t>R0037</t>
  </si>
  <si>
    <t>crumble</t>
  </si>
  <si>
    <t>R0038</t>
  </si>
  <si>
    <t>éclair</t>
  </si>
  <si>
    <t>eclair</t>
  </si>
  <si>
    <t>Margarine</t>
  </si>
  <si>
    <t>R0039</t>
  </si>
  <si>
    <t>éclairs</t>
  </si>
  <si>
    <t>eclairs</t>
  </si>
  <si>
    <t>R0040</t>
  </si>
  <si>
    <t>engrain</t>
  </si>
  <si>
    <t>R0041</t>
  </si>
  <si>
    <t>épeautre</t>
  </si>
  <si>
    <t>epeautre</t>
  </si>
  <si>
    <t>R0042</t>
  </si>
  <si>
    <t>extrait de malt</t>
  </si>
  <si>
    <t>R0043</t>
  </si>
  <si>
    <t>farine de blé dur</t>
  </si>
  <si>
    <t>farine de ble dur</t>
  </si>
  <si>
    <t>Blé dur : céréale contenant du gluten.</t>
  </si>
  <si>
    <t>R0044</t>
  </si>
  <si>
    <t>farine bise</t>
  </si>
  <si>
    <t>R0045</t>
  </si>
  <si>
    <t>farine blanche</t>
  </si>
  <si>
    <t>R0046</t>
  </si>
  <si>
    <t>farine complète</t>
  </si>
  <si>
    <t>farine complete</t>
  </si>
  <si>
    <t>R0047</t>
  </si>
  <si>
    <t>farine d avoine</t>
  </si>
  <si>
    <t>R0048</t>
  </si>
  <si>
    <t>farine d épeautre</t>
  </si>
  <si>
    <t>farine d epeautre</t>
  </si>
  <si>
    <t>R0049</t>
  </si>
  <si>
    <t>farine d orge</t>
  </si>
  <si>
    <t>R0050</t>
  </si>
  <si>
    <t>farine de blé</t>
  </si>
  <si>
    <t>farine de ble</t>
  </si>
  <si>
    <t>R0051</t>
  </si>
  <si>
    <t>farine de froment</t>
  </si>
  <si>
    <t>R0052</t>
  </si>
  <si>
    <t>farine de kamut</t>
  </si>
  <si>
    <t>R0053</t>
  </si>
  <si>
    <t>farine de khorasan</t>
  </si>
  <si>
    <t>R0054</t>
  </si>
  <si>
    <t>farine de seigle</t>
  </si>
  <si>
    <t>R0055</t>
  </si>
  <si>
    <t>farine de triticale</t>
  </si>
  <si>
    <t>R0056</t>
  </si>
  <si>
    <t>farine intégrale</t>
  </si>
  <si>
    <t>farine integrale</t>
  </si>
  <si>
    <t>sucre glace</t>
  </si>
  <si>
    <t>R0057</t>
  </si>
  <si>
    <t>feuille de brick</t>
  </si>
  <si>
    <t>R0058</t>
  </si>
  <si>
    <t>ficelle</t>
  </si>
  <si>
    <t>R0059</t>
  </si>
  <si>
    <t>financier</t>
  </si>
  <si>
    <t>R0060</t>
  </si>
  <si>
    <t>financiers</t>
  </si>
  <si>
    <t>R0061</t>
  </si>
  <si>
    <t>froment</t>
  </si>
  <si>
    <t>R0062</t>
  </si>
  <si>
    <t>gaufre</t>
  </si>
  <si>
    <t>R0063</t>
  </si>
  <si>
    <t>gaufres</t>
  </si>
  <si>
    <t>R0064</t>
  </si>
  <si>
    <t>génoise</t>
  </si>
  <si>
    <t>genoise</t>
  </si>
  <si>
    <t>R0065</t>
  </si>
  <si>
    <t>germe de blé</t>
  </si>
  <si>
    <t>germe de ble</t>
  </si>
  <si>
    <t>R0066</t>
  </si>
  <si>
    <t>gluten</t>
  </si>
  <si>
    <t>R0067</t>
  </si>
  <si>
    <t>gluten de blé</t>
  </si>
  <si>
    <t>gluten de ble</t>
  </si>
  <si>
    <t>R0068</t>
  </si>
  <si>
    <t>gnocchi de blé</t>
  </si>
  <si>
    <t>gnocchi de ble</t>
  </si>
  <si>
    <t>MODE D’EMPLOI</t>
  </si>
  <si>
    <t>R0069</t>
  </si>
  <si>
    <t>kamut</t>
  </si>
  <si>
    <t>R0070</t>
  </si>
  <si>
    <t>khorasan</t>
  </si>
  <si>
    <t>1. Saisir l’intitulé réel du plat, de la boisson ou du produit en colonne B.</t>
  </si>
  <si>
    <t>R0071</t>
  </si>
  <si>
    <t>lager</t>
  </si>
  <si>
    <t>R0072</t>
  </si>
  <si>
    <t>lasagne</t>
  </si>
  <si>
    <t>R0073</t>
  </si>
  <si>
    <t>macaroni</t>
  </si>
  <si>
    <t>R0074</t>
  </si>
  <si>
    <t>madeleine</t>
  </si>
  <si>
    <t>R0075</t>
  </si>
  <si>
    <t>madeleines</t>
  </si>
  <si>
    <t>R0076</t>
  </si>
  <si>
    <t>malt</t>
  </si>
  <si>
    <t>R0077</t>
  </si>
  <si>
    <t>malt d orge</t>
  </si>
  <si>
    <t>R0078</t>
  </si>
  <si>
    <t>maltodextrine de blé</t>
  </si>
  <si>
    <t>zzzxq_exception_maltodextrine_ble_qxzzz</t>
  </si>
  <si>
    <t>Exception réglementaire : la maltodextrine à base de blé ne doit pas déclencher automatiquement le gluten.</t>
  </si>
  <si>
    <t>https://eur-lex.europa.eu/eli/reg/2011/1169/oj?locale=fr</t>
  </si>
  <si>
    <t>CAS DE CONTRÔLE MÉTIER</t>
  </si>
  <si>
    <t>R0079</t>
  </si>
  <si>
    <t>mille feuille</t>
  </si>
  <si>
    <t>CAS</t>
  </si>
  <si>
    <t>TEXTE À SAISIR</t>
  </si>
  <si>
    <t>RÉSULTAT ATTENDU</t>
  </si>
  <si>
    <t>MÉTIER / RISQUE</t>
  </si>
  <si>
    <t>R0080</t>
  </si>
  <si>
    <t>millefeuille</t>
  </si>
  <si>
    <t>Risotto au parmesan</t>
  </si>
  <si>
    <t>Lait — *</t>
  </si>
  <si>
    <t>Cuisine / fromager</t>
  </si>
  <si>
    <t>R0081</t>
  </si>
  <si>
    <t>nouille</t>
  </si>
  <si>
    <t>Burger, emmenthal râpé</t>
  </si>
  <si>
    <t>Orthographe usuelle</t>
  </si>
  <si>
    <t>R0082</t>
  </si>
  <si>
    <t>nouilles</t>
  </si>
  <si>
    <t>Gratin au gruyère</t>
  </si>
  <si>
    <t>Traiteur</t>
  </si>
  <si>
    <t>R0083</t>
  </si>
  <si>
    <t>oat</t>
  </si>
  <si>
    <t>Pecorino romano</t>
  </si>
  <si>
    <t>Fromager / cuisine italienne</t>
  </si>
  <si>
    <t>R0084</t>
  </si>
  <si>
    <t>oats</t>
  </si>
  <si>
    <t>Glace au mascarpone</t>
  </si>
  <si>
    <t>Glacier</t>
  </si>
  <si>
    <t>R0085</t>
  </si>
  <si>
    <t>orge</t>
  </si>
  <si>
    <t>Moule à cake en silicone</t>
  </si>
  <si>
    <t>Aucun mollusque</t>
  </si>
  <si>
    <t>Faux positif pâtisserie</t>
  </si>
  <si>
    <t>R0086</t>
  </si>
  <si>
    <t>pain</t>
  </si>
  <si>
    <t>Crème de coco</t>
  </si>
  <si>
    <t>Aucun lait</t>
  </si>
  <si>
    <t>Faux positif cuisine / bar</t>
  </si>
  <si>
    <t>R0087</t>
  </si>
  <si>
    <t>pain aux céréales</t>
  </si>
  <si>
    <t>pain aux cereales</t>
  </si>
  <si>
    <t>Bar à cocktails</t>
  </si>
  <si>
    <t>Aucun poisson</t>
  </si>
  <si>
    <t>Faux positif bar</t>
  </si>
  <si>
    <t>R0088</t>
  </si>
  <si>
    <t>pain complet</t>
  </si>
  <si>
    <t>Noix de Saint-Jacques poêlées</t>
  </si>
  <si>
    <t>Mollusques — *</t>
  </si>
  <si>
    <t>Faux positif fruits à coque</t>
  </si>
  <si>
    <t>R0089</t>
  </si>
  <si>
    <t>pain d épices</t>
  </si>
  <si>
    <t>pain d epices</t>
  </si>
  <si>
    <t>Lait d’amande</t>
  </si>
  <si>
    <t>Fruits à coque — * ; aucun lait</t>
  </si>
  <si>
    <t>Boisson végétale</t>
  </si>
  <si>
    <t>R0090</t>
  </si>
  <si>
    <t>pain de mie</t>
  </si>
  <si>
    <t>R0091</t>
  </si>
  <si>
    <t>pain de seigle</t>
  </si>
  <si>
    <t>R0092</t>
  </si>
  <si>
    <t>pain pita</t>
  </si>
  <si>
    <t>ARCHITECTURE ET CONTRÔLES</t>
  </si>
  <si>
    <t>R0093</t>
  </si>
  <si>
    <t>panaché</t>
  </si>
  <si>
    <t>panache</t>
  </si>
  <si>
    <t>MODE D’EMPLOI — LECTURE DES ALLERGÈNES</t>
  </si>
  <si>
    <t>R0094</t>
  </si>
  <si>
    <t>panko</t>
  </si>
  <si>
    <t>Zone de saisie</t>
  </si>
  <si>
    <t>B7:B66 : saisir la dénomination réelle du produit ou de l’ingrédient utilisé.</t>
  </si>
  <si>
    <t>R0095</t>
  </si>
  <si>
    <t>panure</t>
  </si>
  <si>
    <t>Résultat carte</t>
  </si>
  <si>
    <t>C7:C66 : le nom est repris avec un seul statut final : * ou ?.</t>
  </si>
  <si>
    <t>R0096</t>
  </si>
  <si>
    <t>pasta</t>
  </si>
  <si>
    <t>Allergènes certains</t>
  </si>
  <si>
    <t>Les colonnes de détection E:R marquent X lorsqu’un allergène est identifié comme certain.</t>
  </si>
  <si>
    <t>R0097</t>
  </si>
  <si>
    <t>pâte à choux</t>
  </si>
  <si>
    <t>pate a choux</t>
  </si>
  <si>
    <t>À vérifier</t>
  </si>
  <si>
    <t>La colonne S liste les familles qui restent à contrôler sur l’étiquette ou la fiche technique.</t>
  </si>
  <si>
    <t>R0098</t>
  </si>
  <si>
    <t>pâte à pizza</t>
  </si>
  <si>
    <t>pate a pizza</t>
  </si>
  <si>
    <t>Règle des symboles</t>
  </si>
  <si>
    <t>* = allergène certain. ? = composition ou présence à vérifier. Un produit ne doit jamais afficher « * ? ».</t>
  </si>
  <si>
    <t>R0099</t>
  </si>
  <si>
    <t>pâte alimentaire</t>
  </si>
  <si>
    <t>pate alimentaire</t>
  </si>
  <si>
    <t>Principe de décision</t>
  </si>
  <si>
    <t>S’il existe au moins un allergène certain, l’affichage final est *. S’il n’y a aucun allergène certain mais qu’un doute subsiste, l’affichage est ?.</t>
  </si>
  <si>
    <t>R0100</t>
  </si>
  <si>
    <t>pâte brisée</t>
  </si>
  <si>
    <t>pate brisee</t>
  </si>
  <si>
    <t>R0101</t>
  </si>
  <si>
    <t>pâte feuilletée</t>
  </si>
  <si>
    <t>pate feuilletee</t>
  </si>
  <si>
    <t>POURQUOI PEUT-IL Y AVOIR DE L’ŒUF OU DU LAIT DANS LE VIN ?</t>
  </si>
  <si>
    <t>R0102</t>
  </si>
  <si>
    <t>pâte filo</t>
  </si>
  <si>
    <t>pate filo</t>
  </si>
  <si>
    <t>Ce n’est pas un ingrédient de recette</t>
  </si>
  <si>
    <t>Tous les vins ne contiennent pas d’œuf ou de lait. Ces substances peuvent être utilisées comme auxiliaires technologiques pendant certains traitements œnologiques.</t>
  </si>
  <si>
    <t>R0103</t>
  </si>
  <si>
    <t>pâte fraîche</t>
  </si>
  <si>
    <t>pate fraiche</t>
  </si>
  <si>
    <t>Œuf</t>
  </si>
  <si>
    <t>L’albumine ou le blanc d’œuf peuvent servir au collage/à la clarification. Le lysozyme, dérivé de l’œuf, peut également être utilisé dans certains traitements œnologiques.</t>
  </si>
  <si>
    <t>R0104</t>
  </si>
  <si>
    <t>pâte sablée</t>
  </si>
  <si>
    <t>pate sablee</t>
  </si>
  <si>
    <t>La caséine, les caséinates ou d’autres protéines du lait peuvent être utilisés comme agents de collage pour clarifier le vin ou corriger certains défauts.</t>
  </si>
  <si>
    <t>R0105</t>
  </si>
  <si>
    <t>pâtes alimentaires</t>
  </si>
  <si>
    <t>pates alimentaires</t>
  </si>
  <si>
    <t>Après le traitement</t>
  </si>
  <si>
    <t>Ces auxiliaires sont normalement éliminés autant que possible. Leur emploi ne signifie donc pas automatiquement que le vin fini contient encore de l’œuf ou du lait.</t>
  </si>
  <si>
    <t>R0106</t>
  </si>
  <si>
    <t>petit épeautre</t>
  </si>
  <si>
    <t>petit epeautre</t>
  </si>
  <si>
    <t>Obligation d’étiquetage</t>
  </si>
  <si>
    <t>Si des substances provenant de l’œuf ou du lait restent détectables dans le vin fini, leur présence doit être indiquée sur l’étiquette.</t>
  </si>
  <si>
    <t>R0107</t>
  </si>
  <si>
    <t>pita</t>
  </si>
  <si>
    <t>Les sulfites doivent être déclarés lorsqu’ils dépassent 10 mg/L, exprimés en SO₂.</t>
  </si>
  <si>
    <t>R0108</t>
  </si>
  <si>
    <t>pizza</t>
  </si>
  <si>
    <t>Conséquence dans ce document</t>
  </si>
  <si>
    <t xml:space="preserve">Pour un libellé générique comme « vin rouge » ou « vin blanc », le ? signifie : vérifier la bouteille ou la fiche technique. </t>
  </si>
  <si>
    <t>R0109</t>
  </si>
  <si>
    <t>porter</t>
  </si>
  <si>
    <t>Si l’étiquette indique « contient des sulfites », « œuf » ou « lait », l’allergène concerné devient certain (*) pour le produit réellement utilisé.</t>
  </si>
  <si>
    <t>R0110</t>
  </si>
  <si>
    <t>pretzel</t>
  </si>
  <si>
    <t>Vin utilisé en cuisine</t>
  </si>
  <si>
    <t>La cuisson ne remplace pas le contrôle de l’étiquette : la déclaration des allergènes se fonde sur la composition du produit mis en œuvre.</t>
  </si>
  <si>
    <t>R0152</t>
  </si>
  <si>
    <t>EXCL</t>
  </si>
  <si>
    <t>cake tin</t>
  </si>
  <si>
    <t>Exclusion métier destinée à éviter un faux positif.</t>
  </si>
  <si>
    <t>SOURCES OFFICIELLES</t>
  </si>
  <si>
    <t>R0153</t>
  </si>
  <si>
    <t>eau de vie</t>
  </si>
  <si>
    <t>Évite un faux positif ou correspond à une exception réglementaire.</t>
  </si>
  <si>
    <t>DGCCRF — Étiquetage des vins</t>
  </si>
  <si>
    <t>https://www.economie.gouv.fr/dgccrf/les-fiches-pratiques/etiquetage-des-vins-savoir-lire-les-etiquettes</t>
  </si>
  <si>
    <t>R0154</t>
  </si>
  <si>
    <t>farine d amande</t>
  </si>
  <si>
    <t>DGCCRF — Guide produits vitivinicoles</t>
  </si>
  <si>
    <t>https://www.economie.gouv.fr/files/files/directions_services/dgccrf/media-document/guide-dgccrf-regles-etiquetage-vitivinicoles-professionnels.pdf</t>
  </si>
  <si>
    <t>R0155</t>
  </si>
  <si>
    <t>farine de châtaigne</t>
  </si>
  <si>
    <t>farine de chataigne</t>
  </si>
  <si>
    <t>Règlement (UE) n°1169/2011 — Annexe II</t>
  </si>
  <si>
    <t>R0111</t>
  </si>
  <si>
    <t>pretzels</t>
  </si>
  <si>
    <t>R0112</t>
  </si>
  <si>
    <t>profiterole</t>
  </si>
  <si>
    <t>EXEMPLES DE LECTURE</t>
  </si>
  <si>
    <t>R0113</t>
  </si>
  <si>
    <t>profiteroles</t>
  </si>
  <si>
    <t>Lait certain → Beurre *.</t>
  </si>
  <si>
    <t>R0114</t>
  </si>
  <si>
    <t>protéine de blé</t>
  </si>
  <si>
    <t>proteine de ble</t>
  </si>
  <si>
    <t>Farine</t>
  </si>
  <si>
    <t>Gluten certain dans la règle actuelle du moteur → Farine *.</t>
  </si>
  <si>
    <t>R0115</t>
  </si>
  <si>
    <t>protéines de blé</t>
  </si>
  <si>
    <t>proteines de ble</t>
  </si>
  <si>
    <t>TOMATE ET MOZARELLA AU BASILIC</t>
  </si>
  <si>
    <t>La mozzarella contient du lait → produit *.</t>
  </si>
  <si>
    <t>R0116</t>
  </si>
  <si>
    <t>quatre quarts</t>
  </si>
  <si>
    <t>Céleri-branche</t>
  </si>
  <si>
    <t>Céleri certain → Céleri-branche *.</t>
  </si>
  <si>
    <t>R0117</t>
  </si>
  <si>
    <t>quiche</t>
  </si>
  <si>
    <t>Fond brun de veau lié</t>
  </si>
  <si>
    <t>Composition variable selon la recette ou le fabricant → ? tant que la fiche technique n’a pas confirmé les allergènes.</t>
  </si>
  <si>
    <t>R0118</t>
  </si>
  <si>
    <t>ravioli</t>
  </si>
  <si>
    <t xml:space="preserve"> Après contrôle, les allergènes réellement présents doivent être considérés comme certains (*).</t>
  </si>
  <si>
    <t>R0119</t>
  </si>
  <si>
    <t>raviolis</t>
  </si>
  <si>
    <t>Composition variable selon la marque : elle peut notamment contenir du lait ou du soja → ? tant que l’étiquette n’est pas contrôlée.</t>
  </si>
  <si>
    <t>R0120</t>
  </si>
  <si>
    <t>rye</t>
  </si>
  <si>
    <t>Vinaigre de vin</t>
  </si>
  <si>
    <t>Dans la base actuelle, il est classé * pour les sulfites. En pratique, ce statut doit correspondre au produit réellement utilisé :</t>
  </si>
  <si>
    <t>R0121</t>
  </si>
  <si>
    <t>seigle</t>
  </si>
  <si>
    <t xml:space="preserve"> si l’étiquette ou la fiche technique confirme les sulfites, * ; sinon la règle doit être réévaluée.</t>
  </si>
  <si>
    <t>R0122</t>
  </si>
  <si>
    <t>seitan</t>
  </si>
  <si>
    <t>R0123</t>
  </si>
  <si>
    <t>semoule</t>
  </si>
  <si>
    <t>LES 14 ALLERGÈNES — OÙ PEUT-ON LES TROUVER ?</t>
  </si>
  <si>
    <t>R0124</t>
  </si>
  <si>
    <t>semoule de blé</t>
  </si>
  <si>
    <t>semoule de ble</t>
  </si>
  <si>
    <t>Objectif CFA</t>
  </si>
  <si>
    <t>Savoir reconnaître un allergène évident, repérer un produit à risque, vérifier l'information disponible, décider avant le service et conserver une traçabilité exploitable.</t>
  </si>
  <si>
    <t>R0125</t>
  </si>
  <si>
    <t>semoule de couscous</t>
  </si>
  <si>
    <t>Dans notre outil</t>
  </si>
  <si>
    <t>* = allergène identifié avec certitude pour le produit tel qu'il est décrit.</t>
  </si>
  <si>
    <t>R0126</t>
  </si>
  <si>
    <t>semoule fine</t>
  </si>
  <si>
    <t>? = la dénomination ou les informations disponibles ne permettent pas de conclure : contrôle obligatoire avant de considérer le produit comme compatible.</t>
  </si>
  <si>
    <t>R0127</t>
  </si>
  <si>
    <t>sirop de malt</t>
  </si>
  <si>
    <t>Point essentiel</t>
  </si>
  <si>
    <t xml:space="preserve">Lire l'étiquette et la fiche technique est indispensable, mais ce n'est pas une garantie absolue. </t>
  </si>
  <si>
    <t>R0128</t>
  </si>
  <si>
    <t>son de blé</t>
  </si>
  <si>
    <t>son de ble</t>
  </si>
  <si>
    <t>Il faut contrôler le produit réellement livré et servi, sa référence, son lot, sa version de fiche technique et toute modification de composition.</t>
  </si>
  <si>
    <t>R0129</t>
  </si>
  <si>
    <t>spaghetti</t>
  </si>
  <si>
    <t>R0130</t>
  </si>
  <si>
    <t>spelt</t>
  </si>
  <si>
    <t>ON LE TROUVE ÉVIDEMMENT DANS…</t>
  </si>
  <si>
    <t>R0131</t>
  </si>
  <si>
    <t>stout</t>
  </si>
  <si>
    <t>1. Céréales contenant du gluten</t>
  </si>
  <si>
    <t>Blé, seigle, orge, avoine, épeautre, kamut.</t>
  </si>
  <si>
    <t>R0132</t>
  </si>
  <si>
    <t>tagliatelle</t>
  </si>
  <si>
    <t>2. Crustacés</t>
  </si>
  <si>
    <t>Crevette, crabe, homard, langouste, langoustine, écrevisse.</t>
  </si>
  <si>
    <t>R0133</t>
  </si>
  <si>
    <t>tarte salée</t>
  </si>
  <si>
    <t>tarte salee</t>
  </si>
  <si>
    <t>3. Œufs</t>
  </si>
  <si>
    <t>Œuf entier, jaune d'œuf, blanc d'œuf.</t>
  </si>
  <si>
    <t>R0134</t>
  </si>
  <si>
    <t>tartelette</t>
  </si>
  <si>
    <t>4. Poissons</t>
  </si>
  <si>
    <t>Saumon, thon, cabillaud, colin, merlu, sardine, anchois, sole, truite, etc.</t>
  </si>
  <si>
    <t>R0135</t>
  </si>
  <si>
    <t>tartelettes</t>
  </si>
  <si>
    <t>5. Arachides</t>
  </si>
  <si>
    <t>Cacahuètes, pâte et beurre d'arachide.</t>
  </si>
  <si>
    <t>R0136</t>
  </si>
  <si>
    <t>tempura</t>
  </si>
  <si>
    <t>6. Soja</t>
  </si>
  <si>
    <t>Graines de soja, tofu, tempeh.</t>
  </si>
  <si>
    <t>R0137</t>
  </si>
  <si>
    <t>tortellini</t>
  </si>
  <si>
    <t>7. Lait</t>
  </si>
  <si>
    <t>Lait, crème, beurre, fromage, yaourt.</t>
  </si>
  <si>
    <t>R0138</t>
  </si>
  <si>
    <t>tortilla de blé</t>
  </si>
  <si>
    <t>tortilla de ble</t>
  </si>
  <si>
    <t>8. Fruits à coque</t>
  </si>
  <si>
    <t>Amande, noisette, noix, noix de cajou, noix de pécan, noix du Brésil, pistache, noix de Macadamia.</t>
  </si>
  <si>
    <t>R0139</t>
  </si>
  <si>
    <t>tourte</t>
  </si>
  <si>
    <t>9. Céleri</t>
  </si>
  <si>
    <t>Céleri-branche, céleri-rave, graines de céleri.</t>
  </si>
  <si>
    <t>R0140</t>
  </si>
  <si>
    <t>triticale</t>
  </si>
  <si>
    <t>10. Moutarde</t>
  </si>
  <si>
    <t>Moutarde, graines de moutarde.</t>
  </si>
  <si>
    <t>R0141</t>
  </si>
  <si>
    <t>vermicelle</t>
  </si>
  <si>
    <t>11. Graines de sésame</t>
  </si>
  <si>
    <t>Sésame blanc, blond ou noir.</t>
  </si>
  <si>
    <t>R0142</t>
  </si>
  <si>
    <t>viennoiserie</t>
  </si>
  <si>
    <t>12. Anhydride sulfureux et sulfites</t>
  </si>
  <si>
    <t>Produits portant la mention sulfites, dioxyde de soufre ou E220 à E228.</t>
  </si>
  <si>
    <t>R0156</t>
  </si>
  <si>
    <t>farine de coco</t>
  </si>
  <si>
    <t>13. Lupin</t>
  </si>
  <si>
    <t>Graines de lupin, farine de lupin.</t>
  </si>
  <si>
    <t>R0144</t>
  </si>
  <si>
    <t>wheat flour</t>
  </si>
  <si>
    <t>14. Mollusques</t>
  </si>
  <si>
    <t>Moule, huître, coquille Saint-Jacques, palourde, escargot, calmar, seiche, poulpe.</t>
  </si>
  <si>
    <t>R0145</t>
  </si>
  <si>
    <t>wrap</t>
  </si>
  <si>
    <t>R0146</t>
  </si>
  <si>
    <t>wraps</t>
  </si>
  <si>
    <t>IL PEUT AUSSI SE CACHER DANS…</t>
  </si>
  <si>
    <t>R0147</t>
  </si>
  <si>
    <t>bière sans gluten</t>
  </si>
  <si>
    <t>biere sans gluten</t>
  </si>
  <si>
    <t>Farines, chapelure, pâtes, semoule, boulgour, couscous, biscuits, pâtisseries, panures, roux et certaines sauces liées.</t>
  </si>
  <si>
    <t>R0148</t>
  </si>
  <si>
    <t>biscuit sans gluten</t>
  </si>
  <si>
    <t>Fumets, bisques, sauces, soupes de poissons, préparations asiatiques et mélanges de fruits de mer.</t>
  </si>
  <si>
    <t>R0149</t>
  </si>
  <si>
    <t>bread tin</t>
  </si>
  <si>
    <t>Mayonnaise, sauces émulsionnées, pâtisseries, biscuits, pâtes fraîches, panures, farces et certaines charcuteries.</t>
  </si>
  <si>
    <t>R0150</t>
  </si>
  <si>
    <t>cake mold</t>
  </si>
  <si>
    <t>Fumet de poisson, sauce poisson, nuoc-mâm, anchois dans certaines sauces, condiments et préparations.</t>
  </si>
  <si>
    <t>R0157</t>
  </si>
  <si>
    <t>farine de lentille</t>
  </si>
  <si>
    <t>Sauces exotiques, préparations asiatiques ou africaines, confiseries, pâtisseries, assaisonnements ou produits composés.</t>
  </si>
  <si>
    <t>R0158</t>
  </si>
  <si>
    <t>farine de lupin</t>
  </si>
  <si>
    <t>Sauce soja, miso, protéines de soja, boissons végétales au soja, lécithine de soja et certains produits végétaux transformés.</t>
  </si>
  <si>
    <t>R0159</t>
  </si>
  <si>
    <t>farine de maïs</t>
  </si>
  <si>
    <t>farine de mais</t>
  </si>
  <si>
    <t>Lactose, lactosérum, caséine, poudre de lait, chocolat au lait, purées, sauces, pâtisseries et certaines margarines.</t>
  </si>
  <si>
    <t>R0160</t>
  </si>
  <si>
    <t>farine de manioc</t>
  </si>
  <si>
    <t>Praliné, pâte d'amande, nougat, pesto, chocolats, pâtisseries et desserts.</t>
  </si>
  <si>
    <t>R0161</t>
  </si>
  <si>
    <t>farine de pois chiche</t>
  </si>
  <si>
    <t>Fonds, bouillons, potages, sauces, jus, mélanges d'épices et certaines préparations industrielles.</t>
  </si>
  <si>
    <t>R0162</t>
  </si>
  <si>
    <t>farine de quinoa</t>
  </si>
  <si>
    <t>Mayonnaises, vinaigrettes, sauces, marinades, charcuteries et condiments.</t>
  </si>
  <si>
    <t>R0163</t>
  </si>
  <si>
    <t>farine de riz</t>
  </si>
  <si>
    <t>Tahini, pains spéciaux, houmous, sauces et préparations orientales ou asiatiques.</t>
  </si>
  <si>
    <t>R0164</t>
  </si>
  <si>
    <t>farine de sarrasin</t>
  </si>
  <si>
    <t>Vin, certains vinaigres, fruits secs, fruits confits, certaines préparations de pommes de terre et autres produits transformés.</t>
  </si>
  <si>
    <t>R0165</t>
  </si>
  <si>
    <t>farine de tapioca</t>
  </si>
  <si>
    <t>Farines composées, certains pains, biscuits, pâtisseries et produits de boulangerie.</t>
  </si>
  <si>
    <t>R0166</t>
  </si>
  <si>
    <t>Sauces, soupes, fumets et préparations de fruits de mer.</t>
  </si>
  <si>
    <t>R0167</t>
  </si>
  <si>
    <t>gluten free</t>
  </si>
  <si>
    <t>R0168</t>
  </si>
  <si>
    <t>loaf tin</t>
  </si>
  <si>
    <t>EXEMPLES EN CUISINE</t>
  </si>
  <si>
    <t>R0169</t>
  </si>
  <si>
    <t>moule à brioche</t>
  </si>
  <si>
    <t>moule a brioche</t>
  </si>
  <si>
    <t>Roux, béchamel, pâte à tarte, pain, croûtons, panures, certaines sauces liées.</t>
  </si>
  <si>
    <t>R0170</t>
  </si>
  <si>
    <t>moule à cake</t>
  </si>
  <si>
    <t>moule a cake</t>
  </si>
  <si>
    <t>Bisque de homard, sauce américaine, crevettes sautées, fumet de crustacés.</t>
  </si>
  <si>
    <t>R0171</t>
  </si>
  <si>
    <t>moule à gâteau</t>
  </si>
  <si>
    <t>moule a gateau</t>
  </si>
  <si>
    <t>Mayonnaise, crème anglaise, génoise, quiche, pâte à choux, dorure.</t>
  </si>
  <si>
    <t>R0172</t>
  </si>
  <si>
    <t>moule à kouglof</t>
  </si>
  <si>
    <t>moule a kouglof</t>
  </si>
  <si>
    <t>Dos de colin, brandade, soupe de poisson, sauce aux anchois, fumet.</t>
  </si>
  <si>
    <t>R0173</t>
  </si>
  <si>
    <t>moule à madeleine</t>
  </si>
  <si>
    <t>moule a madeleine</t>
  </si>
  <si>
    <t>Sauce satay, cacahuètes grillées, beurre de cacahuète.</t>
  </si>
  <si>
    <t>R0174</t>
  </si>
  <si>
    <t>moule à pain</t>
  </si>
  <si>
    <t>moule a pain</t>
  </si>
  <si>
    <t>Tofu, sauce soja, desserts au soja, certaines préparations végétales.</t>
  </si>
  <si>
    <t>R0175</t>
  </si>
  <si>
    <t>moule à tarte</t>
  </si>
  <si>
    <t>moule a tarte</t>
  </si>
  <si>
    <t>Crème fraîche, beurre, béchamel, gratin, mozzarella, parmesan, crème glacée.</t>
  </si>
  <si>
    <t>R0176</t>
  </si>
  <si>
    <t>pain sans gluten</t>
  </si>
  <si>
    <t>Paris-Brest, frangipane, praliné, pesto contenant des fruits à coque.</t>
  </si>
  <si>
    <t>R0177</t>
  </si>
  <si>
    <t>pastry mold</t>
  </si>
  <si>
    <t>Céleri rémoulade, mirepoix, fond brun, bouillon, potage.</t>
  </si>
  <si>
    <t>R0178</t>
  </si>
  <si>
    <t>pastry mould</t>
  </si>
  <si>
    <t>Vinaigrette, sauce moutarde, mayonnaise contenant de la moutarde, marinade.</t>
  </si>
  <si>
    <t>R0179</t>
  </si>
  <si>
    <t>pâtisserie sans gluten</t>
  </si>
  <si>
    <t>patisserie sans gluten</t>
  </si>
  <si>
    <t>Houmous au tahini, pain au sésame, sauce sésame.</t>
  </si>
  <si>
    <t>R0180</t>
  </si>
  <si>
    <t>rhum</t>
  </si>
  <si>
    <t>Vin, raisins secs, fruits confits : vérifier le produit réellement utilisé et sa documentation.</t>
  </si>
  <si>
    <t>R0181</t>
  </si>
  <si>
    <t>sans gluten</t>
  </si>
  <si>
    <t>Pain ou pâtisserie contenant de la farine de lupin.</t>
  </si>
  <si>
    <t>R0182</t>
  </si>
  <si>
    <t>vodka</t>
  </si>
  <si>
    <t>Moules marinières, encornets, seiche, poulpe, escargots, coquilles Saint-Jacques.</t>
  </si>
  <si>
    <t>R0183</t>
  </si>
  <si>
    <t>whiskey</t>
  </si>
  <si>
    <t>R0184</t>
  </si>
  <si>
    <t>whisky</t>
  </si>
  <si>
    <t>ATTENTION AUX PRODUITS COMPOSÉS, AUX SUBSTITUTIONS ET AUX PAI</t>
  </si>
  <si>
    <t>R0185</t>
  </si>
  <si>
    <t>SUSPICION</t>
  </si>
  <si>
    <t>boudin blanc</t>
  </si>
  <si>
    <t>Composition variable : vérifier la fiche technique.</t>
  </si>
  <si>
    <t xml:space="preserve">Le nom d'un produit ne suffit pas toujours pour connaître son profil allergène. </t>
  </si>
  <si>
    <t>R0186</t>
  </si>
  <si>
    <t>bouillon cube</t>
  </si>
  <si>
    <t>Une charcuterie, une sauce, un fond, une saumure, une marinade ou un produit industriel peut contenir un allergène qui n'est pas évident dans son nom.</t>
  </si>
  <si>
    <t>R0187</t>
  </si>
  <si>
    <t>caesar dressing</t>
  </si>
  <si>
    <t>Composition ou recette variable : vérifier la fiche technique.</t>
  </si>
  <si>
    <t>Limite de la fiche technique</t>
  </si>
  <si>
    <t xml:space="preserve">La fiche technique est une référence indispensable, mais elle peut être ancienne, mal associée au produit réellement livré, ne plus correspondre à une nouvelle formulation </t>
  </si>
  <si>
    <t>R0188</t>
  </si>
  <si>
    <t>caesar salad</t>
  </si>
  <si>
    <t>ou ne pas permettre à elle seule d'exclure une contamination croisée.</t>
  </si>
  <si>
    <t>R0189</t>
  </si>
  <si>
    <t>charcuterie</t>
  </si>
  <si>
    <t>R0190</t>
  </si>
  <si>
    <t>cordon bleu</t>
  </si>
  <si>
    <t>CAS PROFESSIONNEL CFA — PAI : L'ALLERGÈNE N'ÉTAIT PAS VISIBLE</t>
  </si>
  <si>
    <t>R0191</t>
  </si>
  <si>
    <t>fond blanc</t>
  </si>
  <si>
    <t>Contexte</t>
  </si>
  <si>
    <t>Cuisine centrale municipale servant notamment des enfants et des résidents d'EHPAD. Un enfant dispose d'un PAI pour allergie alimentaire.</t>
  </si>
  <si>
    <t>R0192</t>
  </si>
  <si>
    <t>fond brun</t>
  </si>
  <si>
    <t>Menu prévu</t>
  </si>
  <si>
    <t>Poisson et purée. Pour respecter le PAI, le menu de l'enfant est remplacé par jambon blanc et salade composée.</t>
  </si>
  <si>
    <t>R0193</t>
  </si>
  <si>
    <t>glace industrielle</t>
  </si>
  <si>
    <t>Au moment du repas</t>
  </si>
  <si>
    <t>Réaction allergique grave : appel des secours, prise en charge hospitalière et diagnostic d'œdème de Quincke.</t>
  </si>
  <si>
    <t>R0194</t>
  </si>
  <si>
    <t>hoisin</t>
  </si>
  <si>
    <t>Première réaction autour de l'incident</t>
  </si>
  <si>
    <t>Le changement de menu fait immédiatement suspecter un non-respect du PAI. Le menu, la recette et les ingrédients utilisés en cuisine sont contrôlés :</t>
  </si>
  <si>
    <t>R0195</t>
  </si>
  <si>
    <t>quenelle</t>
  </si>
  <si>
    <t xml:space="preserve"> aucune arachide n'a été volontairement employée par l'équipe.</t>
  </si>
  <si>
    <t>R0196</t>
  </si>
  <si>
    <t>salade césar</t>
  </si>
  <si>
    <t>salade cesar</t>
  </si>
  <si>
    <t>Enquête</t>
  </si>
  <si>
    <t>Les services compétents et le laboratoire sont saisis. L'analyse met en évidence la présence d'arachide dans le produit de jambon utilisé, via sa saumure selon le résultat de l'enquête.</t>
  </si>
  <si>
    <t>R0197</t>
  </si>
  <si>
    <t>sauce anglaise</t>
  </si>
  <si>
    <t>R0198</t>
  </si>
  <si>
    <t>sauce industrielle</t>
  </si>
  <si>
    <t>Leçon essentielle</t>
  </si>
  <si>
    <t>L'absence d'arachide dans la recette de la cuisine et l'absence d'utilisation volontaire par l'équipe ne suffisaient pas à garantir l'absence d'arachide dans un produit industriel composé.</t>
  </si>
  <si>
    <t>R0199</t>
  </si>
  <si>
    <t>sauce soja</t>
  </si>
  <si>
    <t>Pourquoi ce cas est important</t>
  </si>
  <si>
    <t xml:space="preserve">Il montre qu'une substitution décidée pour protéger un convive peut introduire un risque différent. </t>
  </si>
  <si>
    <t>R0200</t>
  </si>
  <si>
    <t>sauce worcestershire</t>
  </si>
  <si>
    <t>Le produit de remplacement doit donc être contrôlé comme un nouveau produit, même s'il paraît simple ou habituel.</t>
  </si>
  <si>
    <t>R0201</t>
  </si>
  <si>
    <t>saucisse</t>
  </si>
  <si>
    <t>Conséquence professionnelle</t>
  </si>
  <si>
    <t xml:space="preserve">Un incident allergique entraîne immédiatement une enquête et peut mettre en cause l'organisation, les personnes et la réputation de l'établissement </t>
  </si>
  <si>
    <t>R0202</t>
  </si>
  <si>
    <t>saucisson</t>
  </si>
  <si>
    <t>avant même que la cause réelle soit connue. Une traçabilité précise est donc indispensable.</t>
  </si>
  <si>
    <t>R0203</t>
  </si>
  <si>
    <t>shoyu</t>
  </si>
  <si>
    <t>R0204</t>
  </si>
  <si>
    <t>sorbet industriel</t>
  </si>
  <si>
    <t>CE QUE L'APPRENANT DOIT RETENIR</t>
  </si>
  <si>
    <t>R0205</t>
  </si>
  <si>
    <t>surimi</t>
  </si>
  <si>
    <t>Un PAI ne se gère pas seulement avec une liste d'aliments interdits : chaque produit réellement servi doit être compatible avec le PAI.</t>
  </si>
  <si>
    <t>R0206</t>
  </si>
  <si>
    <t>teriyaki</t>
  </si>
  <si>
    <t>Un changement de menu = une nouvelle analyse du risque allergène. Ne jamais considérer le produit de remplacement comme automatiquement sûr.</t>
  </si>
  <si>
    <t>R0207</t>
  </si>
  <si>
    <t>araignee de mer</t>
  </si>
  <si>
    <t>Cuisine/Traiteur</t>
  </si>
  <si>
    <t>Dénomination commerciale officielle ou usuelle.</t>
  </si>
  <si>
    <t>https://www.economie.gouv.fr/dgccrf/les-fiches-pratiques/denominations-commerciales-des-produits-de-la-peche-et-de-laquaculture</t>
  </si>
  <si>
    <t>2024-2026</t>
  </si>
  <si>
    <t>Le nom commercial n'est pas une preuve. « Jambon blanc », « fond brun », « margarine », « sauce », « dessert », etc. peuvent être des produits composés.</t>
  </si>
  <si>
    <t>R0208</t>
  </si>
  <si>
    <t>araignées de mer</t>
  </si>
  <si>
    <t>araignees de mer</t>
  </si>
  <si>
    <t>Crustacé ou dérivé explicite.</t>
  </si>
  <si>
    <t>Contrôler l'étiquette du produit réellement livré, puis la fiche technique correspondant à la bonne référence et, si possible, à la formulation en vigueur.</t>
  </si>
  <si>
    <t>R0209</t>
  </si>
  <si>
    <t>bisque de crustacés</t>
  </si>
  <si>
    <t>bisque de crustaces</t>
  </si>
  <si>
    <t>Conserver les éléments de traçabilité : fournisseur, marque, référence, numéro de lot, date de livraison, emballage ou photo de l'étiquette et fiche technique utilisée.</t>
  </si>
  <si>
    <t>R0210</t>
  </si>
  <si>
    <t>bisque de homard</t>
  </si>
  <si>
    <t xml:space="preserve">Si la composition est incertaine, contradictoire ou impossible à vérifier pour un convive allergique : ne pas improviser. </t>
  </si>
  <si>
    <t>R0211</t>
  </si>
  <si>
    <t>canada sa chair peut etre vendue comme</t>
  </si>
  <si>
    <t>Utiliser une solution de remplacement validée selon le protocole de l'établissement.</t>
  </si>
  <si>
    <t>R0212</t>
  </si>
  <si>
    <t>caramote</t>
  </si>
  <si>
    <t>7.</t>
  </si>
  <si>
    <t>La traçabilité protège d'abord le convive, mais elle permet aussi de reconstituer les faits et de déterminer l'origine réelle d'un incident.</t>
  </si>
  <si>
    <t>R0213</t>
  </si>
  <si>
    <t>chevrette</t>
  </si>
  <si>
    <t>R0214</t>
  </si>
  <si>
    <t>cigale</t>
  </si>
  <si>
    <t>AVANT DE SERVIR UN REPAS DE REMPLACEMENT PAI</t>
  </si>
  <si>
    <t>R0215</t>
  </si>
  <si>
    <t>cigale d afrique du sud</t>
  </si>
  <si>
    <t>1. Identifier</t>
  </si>
  <si>
    <t>Relire le PAI : allergène(s) concerné(s), consignes particulières, procédure prévue et conduite à tenir en urgence.</t>
  </si>
  <si>
    <t>R0216</t>
  </si>
  <si>
    <t>cigale de mer</t>
  </si>
  <si>
    <t>2. Refaire le contrôle</t>
  </si>
  <si>
    <t>Considérer le produit de substitution comme une nouvelle matière première : vérifier tous ses ingrédients et allergènes.</t>
  </si>
  <si>
    <t>R0217</t>
  </si>
  <si>
    <t>cigale du bresil</t>
  </si>
  <si>
    <t>3. Contrôler le produit réel</t>
  </si>
  <si>
    <t>Ne pas se contenter d'une fiche générique. Vérifier la marque, la référence et l'étiquette du conditionnement réellement utilisé.</t>
  </si>
  <si>
    <t>R0218</t>
  </si>
  <si>
    <t>cigale japonaise</t>
  </si>
  <si>
    <t>4. Vérifier la documentation</t>
  </si>
  <si>
    <t>Comparer l'étiquette et la fiche technique. En cas d'écart, d'ancienne version ou de doute, arrêter la décision et demander confirmation.</t>
  </si>
  <si>
    <t>R0219</t>
  </si>
  <si>
    <t>cigale raquette</t>
  </si>
  <si>
    <t>5. Tracer</t>
  </si>
  <si>
    <t>Conserver le lot, le fournisseur, la date, le document contrôlé et la personne ayant réalisé la vérification selon l'organisation de l'établissement.</t>
  </si>
  <si>
    <t>R0220</t>
  </si>
  <si>
    <t>cigale rouge</t>
  </si>
  <si>
    <t>6. Décider</t>
  </si>
  <si>
    <t>Si la sécurité ne peut pas être établie, ne pas servir ce produit au convive concerné et appliquer la solution de remplacement prévue.</t>
  </si>
  <si>
    <t>R0221</t>
  </si>
  <si>
    <t>cigales de mer</t>
  </si>
  <si>
    <t>R0222</t>
  </si>
  <si>
    <t>crab</t>
  </si>
  <si>
    <t>EN CAS D'INCIDENT ALLERGIQUE</t>
  </si>
  <si>
    <t>R0223</t>
  </si>
  <si>
    <t>crabe</t>
  </si>
  <si>
    <t>Priorité absolue</t>
  </si>
  <si>
    <t>Appliquer immédiatement le protocole d'urgence prévu pour le convive et alerter les secours selon la situation. La recherche de responsabilité vient après la prise en charge.</t>
  </si>
  <si>
    <t>R0224</t>
  </si>
  <si>
    <t>crabe bleu</t>
  </si>
  <si>
    <t>Préserver les preuves</t>
  </si>
  <si>
    <t>Mettre de côté l'emballage, le numéro de lot, le produit restant si le protocole le permet, le bon de livraison, la fiche technique,</t>
  </si>
  <si>
    <t>R0225</t>
  </si>
  <si>
    <t>crabe de mangrove</t>
  </si>
  <si>
    <t xml:space="preserve"> le menu, la fiche de production et les enregistrements de traçabilité.</t>
  </si>
  <si>
    <t>R0226</t>
  </si>
  <si>
    <t>crabe de paletuviers</t>
  </si>
  <si>
    <t>Reconstituer les faits</t>
  </si>
  <si>
    <t>Noter l'heure, le produit servi, la quantité, les opérations réalisées, les personnes présentes et les informations transmises.</t>
  </si>
  <si>
    <t>R0227</t>
  </si>
  <si>
    <t>crabe des neiges de l antarctique</t>
  </si>
  <si>
    <t>Éviter les conclusions hâtives</t>
  </si>
  <si>
    <t>Ne pas attribuer immédiatement l'incident à une erreur de cuisine ou, inversement, au fournisseur. Les analyses et la traçabilité doivent établir les faits.</t>
  </si>
  <si>
    <t>R0228</t>
  </si>
  <si>
    <t>crabe des sables</t>
  </si>
  <si>
    <t>R0229</t>
  </si>
  <si>
    <t>crabe gazami</t>
  </si>
  <si>
    <t>PROTÉGER LE CONVIVE ET LE PROFESSIONNEL</t>
  </si>
  <si>
    <t>R0230</t>
  </si>
  <si>
    <t>crabe nageur</t>
  </si>
  <si>
    <t>Sécurité</t>
  </si>
  <si>
    <t>La vigilance allergène doit couvrir toute la chaîne : achat, réception, stockage, production, substitution, service et traçabilité.</t>
  </si>
  <si>
    <t>R0231</t>
  </si>
  <si>
    <t>crabe royal</t>
  </si>
  <si>
    <t>Responsabilité</t>
  </si>
  <si>
    <t>Une information fournisseur incomplète ou un changement de composition peut placer la cuisine en difficulté même si la recette interne est correctement maîtrisée.</t>
  </si>
  <si>
    <t>R0232</t>
  </si>
  <si>
    <t>crabe royal brun</t>
  </si>
  <si>
    <t>Traçabilité</t>
  </si>
  <si>
    <t>Une fiche technique explique ce que le produit est censé contenir ; la traçabilité permet de démontrer quel produit et quel lot ont réellement été servis.</t>
  </si>
  <si>
    <t>R0233</t>
  </si>
  <si>
    <t>crabe royal de l antarctique</t>
  </si>
  <si>
    <t>Réputation professionnelle</t>
  </si>
  <si>
    <t xml:space="preserve">Un incident peut marquer durablement un établissement ou un professionnel. Des preuves factuelles, </t>
  </si>
  <si>
    <t>R0234</t>
  </si>
  <si>
    <t>crabe royal du kamtchatka</t>
  </si>
  <si>
    <t>datées et conservées sont essentielles pour sortir du registre de l'accusation et revenir aux faits.</t>
  </si>
  <si>
    <t>R0235</t>
  </si>
  <si>
    <t>crabe vert</t>
  </si>
  <si>
    <t>R0236</t>
  </si>
  <si>
    <t>crabes</t>
  </si>
  <si>
    <t>EXEMPLES À INTERPRÉTER CORRECTEMENT</t>
  </si>
  <si>
    <t>R0237</t>
  </si>
  <si>
    <t>crabs</t>
  </si>
  <si>
    <t>Fond brun de veau ?</t>
  </si>
  <si>
    <t>Produit composé : vérifier notamment gluten, céleri et tout autre allergène déclaré par le fabricant.</t>
  </si>
  <si>
    <t>R0238</t>
  </si>
  <si>
    <t>crayfish</t>
  </si>
  <si>
    <t>Farine ?</t>
  </si>
  <si>
    <t>Le mot « farine » seul ne précise pas la céréale. Farine de blé = gluten certain ; farine de riz ou de maïs ≠ gluten automatiquement.</t>
  </si>
  <si>
    <t>R0239</t>
  </si>
  <si>
    <t>crevette</t>
  </si>
  <si>
    <t>Vin ?</t>
  </si>
  <si>
    <t>Vérifier notamment les sulfites et les mentions allergènes réellement portées par le produit utilisé.</t>
  </si>
  <si>
    <t>R0240</t>
  </si>
  <si>
    <t>crevette blanche</t>
  </si>
  <si>
    <t>Sucre glace</t>
  </si>
  <si>
    <t>Le mot « glace » ne signifie pas crème glacée : il ne doit pas déclencher automatiquement l'allergène lait.</t>
  </si>
  <si>
    <t>R0241</t>
  </si>
  <si>
    <t>crevette bleu</t>
  </si>
  <si>
    <t>Raisins secs ? / Fruits confits ?</t>
  </si>
  <si>
    <t>Les sulfites peuvent être présents : vérifier l'étiquette et la fiche du produit réellement utilisé.</t>
  </si>
  <si>
    <t>R0242</t>
  </si>
  <si>
    <t>crevette bouquet</t>
  </si>
  <si>
    <t>Produit avec « ou »</t>
  </si>
  <si>
    <t>Exemple « beurre ou margarine » : le produit réellement utilisé doit être identifié avant de conclure sur les allergènes.</t>
  </si>
  <si>
    <t>R0243</t>
  </si>
  <si>
    <t>crevette chamois</t>
  </si>
  <si>
    <t>R0244</t>
  </si>
  <si>
    <t>crevette couteau</t>
  </si>
  <si>
    <t>RÉFLEXE PROFESSIONNEL</t>
  </si>
  <si>
    <t>R0245</t>
  </si>
  <si>
    <t>crevette cristal</t>
  </si>
  <si>
    <t>Question 1</t>
  </si>
  <si>
    <t>L'allergène est-il évident dans le nom ? Exemple : beurre → lait ; crevettes → crustacés ; dos de colin → poisson. Si oui : *.</t>
  </si>
  <si>
    <t>R0246</t>
  </si>
  <si>
    <t>crevette de guinee</t>
  </si>
  <si>
    <t>Question 2</t>
  </si>
  <si>
    <t>Le produit est-il composé ou sa dénomination est-elle imprécise ? Exemple : farine, fond, margarine, vin, charcuterie industrielle. Si oui : vérifier avant de conclure.</t>
  </si>
  <si>
    <t>R0247</t>
  </si>
  <si>
    <t>crevette des canaux</t>
  </si>
  <si>
    <t>Question 3</t>
  </si>
  <si>
    <t>Ai-je contrôlé le produit réellement utilisé, et pas seulement une recette théorique ou une ancienne fiche technique ?</t>
  </si>
  <si>
    <t>R0248</t>
  </si>
  <si>
    <t>crevette esope</t>
  </si>
  <si>
    <t>Question 4</t>
  </si>
  <si>
    <t>Puis-je retrouver après le service la marque, la référence, le lot et le document qui ont servi à ma décision ?</t>
  </si>
  <si>
    <t>R0249</t>
  </si>
  <si>
    <t>crevette grise</t>
  </si>
  <si>
    <t>Question 5</t>
  </si>
  <si>
    <t>Pour un PAI, la substitution a-t-elle été vérifiée comme un nouveau risque avant d'être servie ?</t>
  </si>
  <si>
    <t>R0250</t>
  </si>
  <si>
    <t>crevette kidi</t>
  </si>
  <si>
    <t>R0251</t>
  </si>
  <si>
    <t>crevette kuruma</t>
  </si>
  <si>
    <t>R0252</t>
  </si>
  <si>
    <t>crevette nordique</t>
  </si>
  <si>
    <t>On ne devine jamais un allergène et on ne déclare jamais « absence garantie » sur la seule apparence d'un produit.</t>
  </si>
  <si>
    <t>R0253</t>
  </si>
  <si>
    <t>crevette oceanique</t>
  </si>
  <si>
    <t>*</t>
  </si>
  <si>
    <t>JE SAIS : l'allergène est présent dans le produit identifié.</t>
  </si>
  <si>
    <t>R0254</t>
  </si>
  <si>
    <t>crevette rouge</t>
  </si>
  <si>
    <t>?</t>
  </si>
  <si>
    <t>JE DOIS VÉRIFIER avant de conclure.</t>
  </si>
  <si>
    <t>R0255</t>
  </si>
  <si>
    <t>crevette rouge d arabie</t>
  </si>
  <si>
    <t>Aucun symbole</t>
  </si>
  <si>
    <t>Le moteur n'a rien identifié avec les informations disponibles ; cela ne prouve pas l'absence absolue d'allergène dans un produit composé.</t>
  </si>
  <si>
    <t>R0256</t>
  </si>
  <si>
    <t>crevette rouge de l atlantique</t>
  </si>
  <si>
    <t>Fiche technique</t>
  </si>
  <si>
    <t>Document de référence indispensable, à rapprocher du produit, de la référence et de la version réellement utilisés.</t>
  </si>
  <si>
    <t>R0257</t>
  </si>
  <si>
    <t>crevette tachetee</t>
  </si>
  <si>
    <t>Preuve du produit réellement reçu, utilisé et servi.</t>
  </si>
  <si>
    <t>R0258</t>
  </si>
  <si>
    <t>crevette tropicale</t>
  </si>
  <si>
    <t>PAI</t>
  </si>
  <si>
    <t>Toute substitution doit être considérée comme une nouvelle décision de sécurité alimentaire.</t>
  </si>
  <si>
    <t>R0259</t>
  </si>
  <si>
    <t>crevette tropicale d eau douce</t>
  </si>
  <si>
    <t>R0260</t>
  </si>
  <si>
    <t>crevettes</t>
  </si>
  <si>
    <t>MESSAGE CFA</t>
  </si>
  <si>
    <t>La sécurité allergène ne repose pas sur une seule personne ni sur un seul document.</t>
  </si>
  <si>
    <t>R0261</t>
  </si>
  <si>
    <t>ecrevisse</t>
  </si>
  <si>
    <t xml:space="preserve"> Elle repose sur une chaîne de contrôles, une décision prudente et une traçabilité capable de démontrer les faits.</t>
  </si>
  <si>
    <t>R0262</t>
  </si>
  <si>
    <t>ecrevisse a pattes greles</t>
  </si>
  <si>
    <t>R0263</t>
  </si>
  <si>
    <t>ecrevisse a pattes rouges</t>
  </si>
  <si>
    <t>Règle à retenir</t>
  </si>
  <si>
    <t>R0264</t>
  </si>
  <si>
    <t>ecrevisse australienne</t>
  </si>
  <si>
    <t>Raisins secs → ? Sulfites</t>
  </si>
  <si>
    <t>R0265</t>
  </si>
  <si>
    <t>ecrevisse de californie</t>
  </si>
  <si>
    <t>Pour raisins secs et fruits confits, dès que la fiche technique indique sulfites / E220 à E228 au-dessus du seuil réglementaire, le statut devient *.</t>
  </si>
  <si>
    <t>R0266</t>
  </si>
  <si>
    <t>ecrevisse du bresil</t>
  </si>
  <si>
    <t>Fruits confits en cubes → ? Sulfites</t>
  </si>
  <si>
    <t>R0267</t>
  </si>
  <si>
    <t>ecrevisse signal</t>
  </si>
  <si>
    <t>Sucre glace → aucun ? à cause du mot “glace”</t>
  </si>
  <si>
    <t>R0268</t>
  </si>
  <si>
    <t>écrevisses</t>
  </si>
  <si>
    <t>ecrevisses</t>
  </si>
  <si>
    <t>Sucre glace ? → faux positif du moteur. Le document ne possède aucune règle sucre glace. Il trouve simplement le mot glace, enregistré en Lait – SUSPICION</t>
  </si>
  <si>
    <t>R0269</t>
  </si>
  <si>
    <t>etrille</t>
  </si>
  <si>
    <t>Il comprend donc à tort sucre glace comme s’il s’agissait d’une glace alimentaire pouvant contenir du lait.</t>
  </si>
  <si>
    <t>R0270</t>
  </si>
  <si>
    <t>étrilles</t>
  </si>
  <si>
    <t>etrilles</t>
  </si>
  <si>
    <t xml:space="preserve">Le défaut « sucre glace » montre surtout qu’il faut corriger le mot-clé générique glace : il est trop large. </t>
  </si>
  <si>
    <t>R0271</t>
  </si>
  <si>
    <t>fumet de crustacés</t>
  </si>
  <si>
    <t>fumet de crustaces</t>
  </si>
  <si>
    <t>Il vaut mieux reconnaître crème glacée, glace artisanale, glace au lait, etc., ou neutraliser explicitement sucre glace.</t>
  </si>
  <si>
    <t>R0272</t>
  </si>
  <si>
    <t>galathee</t>
  </si>
  <si>
    <t>Ces changements ont été fait</t>
  </si>
  <si>
    <t>R0273</t>
  </si>
  <si>
    <t>galathee bleue</t>
  </si>
  <si>
    <t>R0274</t>
  </si>
  <si>
    <t>galathee pelagique</t>
  </si>
  <si>
    <t>R0275</t>
  </si>
  <si>
    <t>galathee rouge</t>
  </si>
  <si>
    <t>R0276</t>
  </si>
  <si>
    <t>gamba</t>
  </si>
  <si>
    <t>R0277</t>
  </si>
  <si>
    <t>gambas</t>
  </si>
  <si>
    <t>R0278</t>
  </si>
  <si>
    <t>grande crevette rouge</t>
  </si>
  <si>
    <t>R0279</t>
  </si>
  <si>
    <t>homard</t>
  </si>
  <si>
    <t>R0280</t>
  </si>
  <si>
    <t>homard americain</t>
  </si>
  <si>
    <t>R0281</t>
  </si>
  <si>
    <t>homard canadien</t>
  </si>
  <si>
    <t>R0282</t>
  </si>
  <si>
    <t>homard europeen</t>
  </si>
  <si>
    <t>R0283</t>
  </si>
  <si>
    <t>homards</t>
  </si>
  <si>
    <t>R0284</t>
  </si>
  <si>
    <t>hyas coarctatus</t>
  </si>
  <si>
    <t>R0285</t>
  </si>
  <si>
    <t>jasus paulensis</t>
  </si>
  <si>
    <t>R0286</t>
  </si>
  <si>
    <t>jus de crustacés</t>
  </si>
  <si>
    <t>jus de crustaces</t>
  </si>
  <si>
    <t>R0287</t>
  </si>
  <si>
    <t>langouste</t>
  </si>
  <si>
    <t>R0288</t>
  </si>
  <si>
    <t>langouste bariolee</t>
  </si>
  <si>
    <t>R0289</t>
  </si>
  <si>
    <t>langouste blanche</t>
  </si>
  <si>
    <t>R0290</t>
  </si>
  <si>
    <t>langouste caraibe</t>
  </si>
  <si>
    <t>R0291</t>
  </si>
  <si>
    <t>langouste chilienne</t>
  </si>
  <si>
    <t>R0292</t>
  </si>
  <si>
    <t>langouste d australie</t>
  </si>
  <si>
    <t>R0293</t>
  </si>
  <si>
    <t>langouste de natal</t>
  </si>
  <si>
    <t>R0294</t>
  </si>
  <si>
    <t>langouste de tristan</t>
  </si>
  <si>
    <t>R0295</t>
  </si>
  <si>
    <t>langouste de vase</t>
  </si>
  <si>
    <t>R0296</t>
  </si>
  <si>
    <t>langouste diablotin</t>
  </si>
  <si>
    <t>R0297</t>
  </si>
  <si>
    <t>langouste du cap vert</t>
  </si>
  <si>
    <t>R0298</t>
  </si>
  <si>
    <t>langouste du mexique</t>
  </si>
  <si>
    <t>R0299</t>
  </si>
  <si>
    <t>langouste du sud</t>
  </si>
  <si>
    <t>R0300</t>
  </si>
  <si>
    <t>langouste festonnee</t>
  </si>
  <si>
    <t>R0301</t>
  </si>
  <si>
    <t>langouste fouet</t>
  </si>
  <si>
    <t>R0302</t>
  </si>
  <si>
    <t>langouste fouet arabe</t>
  </si>
  <si>
    <t>R0303</t>
  </si>
  <si>
    <t>langouste fouet bande</t>
  </si>
  <si>
    <t>R0304</t>
  </si>
  <si>
    <t>langouste fourchette</t>
  </si>
  <si>
    <t>R0305</t>
  </si>
  <si>
    <t>langouste indienne</t>
  </si>
  <si>
    <t>R0306</t>
  </si>
  <si>
    <t>langouste ornee</t>
  </si>
  <si>
    <t>R0307</t>
  </si>
  <si>
    <t>langouste rose</t>
  </si>
  <si>
    <t>R0308</t>
  </si>
  <si>
    <t>langouste rouge</t>
  </si>
  <si>
    <t>R0309</t>
  </si>
  <si>
    <t>langouste rouge d australie</t>
  </si>
  <si>
    <t>R0310</t>
  </si>
  <si>
    <t>langouste rouge du cap</t>
  </si>
  <si>
    <t>R0311</t>
  </si>
  <si>
    <t>langouste rouge du chili</t>
  </si>
  <si>
    <t>R0312</t>
  </si>
  <si>
    <t>langouste royale</t>
  </si>
  <si>
    <t>R0313</t>
  </si>
  <si>
    <t>langouste tropicale</t>
  </si>
  <si>
    <t>R0314</t>
  </si>
  <si>
    <t>langouste verte</t>
  </si>
  <si>
    <t>R0315</t>
  </si>
  <si>
    <t>langoustes</t>
  </si>
  <si>
    <t>R0316</t>
  </si>
  <si>
    <t>langoustine</t>
  </si>
  <si>
    <t>R0317</t>
  </si>
  <si>
    <t>langoustine andamane</t>
  </si>
  <si>
    <t>R0318</t>
  </si>
  <si>
    <t>langoustine d uruguay</t>
  </si>
  <si>
    <t>R0319</t>
  </si>
  <si>
    <t>langoustine de nouvelle zelande</t>
  </si>
  <si>
    <t>R0320</t>
  </si>
  <si>
    <t>langoustines</t>
  </si>
  <si>
    <t>R0321</t>
  </si>
  <si>
    <t>lobster</t>
  </si>
  <si>
    <t>R0322</t>
  </si>
  <si>
    <t>lobsters</t>
  </si>
  <si>
    <t>R0323</t>
  </si>
  <si>
    <t>mante de mer</t>
  </si>
  <si>
    <t>R0324</t>
  </si>
  <si>
    <t>mantis</t>
  </si>
  <si>
    <t>R0325</t>
  </si>
  <si>
    <t>munida</t>
  </si>
  <si>
    <t>R0326</t>
  </si>
  <si>
    <t>pâte de crevette</t>
  </si>
  <si>
    <t>pate de crevette</t>
  </si>
  <si>
    <t>R0327</t>
  </si>
  <si>
    <t>petite cigale</t>
  </si>
  <si>
    <t>R0328</t>
  </si>
  <si>
    <t>pouce pied</t>
  </si>
  <si>
    <t>R0329</t>
  </si>
  <si>
    <t>poudre de crevette</t>
  </si>
  <si>
    <t>R0330</t>
  </si>
  <si>
    <t>prawn</t>
  </si>
  <si>
    <t>R0331</t>
  </si>
  <si>
    <t>prawns</t>
  </si>
  <si>
    <t>R0332</t>
  </si>
  <si>
    <t>sauce de crustacés</t>
  </si>
  <si>
    <t>sauce de crustaces</t>
  </si>
  <si>
    <t>R0333</t>
  </si>
  <si>
    <t>scampi</t>
  </si>
  <si>
    <t>R0334</t>
  </si>
  <si>
    <t>scampis</t>
  </si>
  <si>
    <t>R0335</t>
  </si>
  <si>
    <t>shrimp</t>
  </si>
  <si>
    <t>R0336</t>
  </si>
  <si>
    <t>shrimp paste</t>
  </si>
  <si>
    <t>R0337</t>
  </si>
  <si>
    <t>shrimps</t>
  </si>
  <si>
    <t>R0338</t>
  </si>
  <si>
    <t>squille</t>
  </si>
  <si>
    <t>R0339</t>
  </si>
  <si>
    <t>tourteau</t>
  </si>
  <si>
    <t>R0340</t>
  </si>
  <si>
    <t>tourteau jaune</t>
  </si>
  <si>
    <t>R0341</t>
  </si>
  <si>
    <t>tourteaux</t>
  </si>
  <si>
    <t>R0342</t>
  </si>
  <si>
    <t>aïoli</t>
  </si>
  <si>
    <t>aioli</t>
  </si>
  <si>
    <t>Œuf, dérivé ou préparation classique.</t>
  </si>
  <si>
    <t>R0343</t>
  </si>
  <si>
    <t>albumine</t>
  </si>
  <si>
    <t>R0344</t>
  </si>
  <si>
    <t>béarnaise</t>
  </si>
  <si>
    <t>bearnaise</t>
  </si>
  <si>
    <t>R0345</t>
  </si>
  <si>
    <t>biscuit cuillère</t>
  </si>
  <si>
    <t>biscuit cuillere</t>
  </si>
  <si>
    <t>R0346</t>
  </si>
  <si>
    <t>blanc d œuf</t>
  </si>
  <si>
    <t>blanc d oeuf</t>
  </si>
  <si>
    <t>R0347</t>
  </si>
  <si>
    <t>blancs d œufs</t>
  </si>
  <si>
    <t>blancs d oeufs</t>
  </si>
  <si>
    <t>R0348</t>
  </si>
  <si>
    <t>boudoir</t>
  </si>
  <si>
    <t>R0349</t>
  </si>
  <si>
    <t>boudoirs</t>
  </si>
  <si>
    <t>R0350</t>
  </si>
  <si>
    <t>carbonara</t>
  </si>
  <si>
    <t>R0351</t>
  </si>
  <si>
    <t>crème anglaise</t>
  </si>
  <si>
    <t>creme anglaise</t>
  </si>
  <si>
    <t>R0352</t>
  </si>
  <si>
    <t>crème brûlée</t>
  </si>
  <si>
    <t>creme brulee</t>
  </si>
  <si>
    <t>R0353</t>
  </si>
  <si>
    <t>crème caramel</t>
  </si>
  <si>
    <t>creme caramel</t>
  </si>
  <si>
    <t>R0354</t>
  </si>
  <si>
    <t>crème catalane</t>
  </si>
  <si>
    <t>creme catalane</t>
  </si>
  <si>
    <t>R0355</t>
  </si>
  <si>
    <t>crème pâtissière</t>
  </si>
  <si>
    <t>creme patissiere</t>
  </si>
  <si>
    <t>R0356</t>
  </si>
  <si>
    <t>dorure à l œuf</t>
  </si>
  <si>
    <t>dorure a l oeuf</t>
  </si>
  <si>
    <t>R0357</t>
  </si>
  <si>
    <t>E1105</t>
  </si>
  <si>
    <t>e1105</t>
  </si>
  <si>
    <t>R0358</t>
  </si>
  <si>
    <t>egg</t>
  </si>
  <si>
    <t>R0359</t>
  </si>
  <si>
    <t>egg white</t>
  </si>
  <si>
    <t>R0360</t>
  </si>
  <si>
    <t>egg whites</t>
  </si>
  <si>
    <t>R0361</t>
  </si>
  <si>
    <t>egg yolk</t>
  </si>
  <si>
    <t>R0362</t>
  </si>
  <si>
    <t>egg yolks</t>
  </si>
  <si>
    <t>R0363</t>
  </si>
  <si>
    <t>eggs</t>
  </si>
  <si>
    <t>R0364</t>
  </si>
  <si>
    <t>flan</t>
  </si>
  <si>
    <t>R0365</t>
  </si>
  <si>
    <t>R0366</t>
  </si>
  <si>
    <t>hollandaise</t>
  </si>
  <si>
    <t>R0367</t>
  </si>
  <si>
    <t>île flottante</t>
  </si>
  <si>
    <t>ile flottante</t>
  </si>
  <si>
    <t>R0368</t>
  </si>
  <si>
    <t>jaune d œuf</t>
  </si>
  <si>
    <t>jaune d oeuf</t>
  </si>
  <si>
    <t>R0369</t>
  </si>
  <si>
    <t>jaunes d œufs</t>
  </si>
  <si>
    <t>jaunes d oeufs</t>
  </si>
  <si>
    <t>R0370</t>
  </si>
  <si>
    <t>lécithine d œuf</t>
  </si>
  <si>
    <t>lecithine d oeuf</t>
  </si>
  <si>
    <t>R0371</t>
  </si>
  <si>
    <t>lysozyme</t>
  </si>
  <si>
    <t>R0372</t>
  </si>
  <si>
    <t>mayo</t>
  </si>
  <si>
    <t>R0373</t>
  </si>
  <si>
    <t>mayonnaise</t>
  </si>
  <si>
    <t>R0374</t>
  </si>
  <si>
    <t>meringue</t>
  </si>
  <si>
    <t>R0375</t>
  </si>
  <si>
    <t>meringues</t>
  </si>
  <si>
    <t>R0376</t>
  </si>
  <si>
    <t>œuf</t>
  </si>
  <si>
    <t>oeuf</t>
  </si>
  <si>
    <t>R0377</t>
  </si>
  <si>
    <t>œuf dur</t>
  </si>
  <si>
    <t>oeuf dur</t>
  </si>
  <si>
    <t>R0378</t>
  </si>
  <si>
    <t>œuf en poudre</t>
  </si>
  <si>
    <t>oeuf en poudre</t>
  </si>
  <si>
    <t>R0379</t>
  </si>
  <si>
    <t>œuf mollet</t>
  </si>
  <si>
    <t>oeuf mollet</t>
  </si>
  <si>
    <t>R0380</t>
  </si>
  <si>
    <t>œuf poché</t>
  </si>
  <si>
    <t>oeuf poche</t>
  </si>
  <si>
    <t>R0381</t>
  </si>
  <si>
    <t>œufs</t>
  </si>
  <si>
    <t>oeufs</t>
  </si>
  <si>
    <t>R0382</t>
  </si>
  <si>
    <t>œufs brouillés</t>
  </si>
  <si>
    <t>oeufs brouilles</t>
  </si>
  <si>
    <t>R0383</t>
  </si>
  <si>
    <t>omelette</t>
  </si>
  <si>
    <t>R0384</t>
  </si>
  <si>
    <t>ovalbumine</t>
  </si>
  <si>
    <t>R0385</t>
  </si>
  <si>
    <t>ovomucine</t>
  </si>
  <si>
    <t>R0386</t>
  </si>
  <si>
    <t>ovomucoïde</t>
  </si>
  <si>
    <t>ovomucoide</t>
  </si>
  <si>
    <t>R0387</t>
  </si>
  <si>
    <t>ovoproduit</t>
  </si>
  <si>
    <t>R0388</t>
  </si>
  <si>
    <t>ovoproduits</t>
  </si>
  <si>
    <t>R0389</t>
  </si>
  <si>
    <t>pâte à bombe</t>
  </si>
  <si>
    <t>pate a bombe</t>
  </si>
  <si>
    <t>R0390</t>
  </si>
  <si>
    <t>R0391</t>
  </si>
  <si>
    <t>poudre d œuf</t>
  </si>
  <si>
    <t>poudre d oeuf</t>
  </si>
  <si>
    <t>R0392</t>
  </si>
  <si>
    <t>R0393</t>
  </si>
  <si>
    <t>sabayon</t>
  </si>
  <si>
    <t>R0394</t>
  </si>
  <si>
    <t>sauce cocktail</t>
  </si>
  <si>
    <t>R0395</t>
  </si>
  <si>
    <t>sauce gribiche</t>
  </si>
  <si>
    <t>R0396</t>
  </si>
  <si>
    <t>sauce rémoulade</t>
  </si>
  <si>
    <t>sauce remoulade</t>
  </si>
  <si>
    <t>R0397</t>
  </si>
  <si>
    <t>sauce tartare</t>
  </si>
  <si>
    <t>R0398</t>
  </si>
  <si>
    <t>soufflé</t>
  </si>
  <si>
    <t>souffle</t>
  </si>
  <si>
    <t>R0399</t>
  </si>
  <si>
    <t>tiramisu</t>
  </si>
  <si>
    <t>R0400</t>
  </si>
  <si>
    <t>amaretto sour</t>
  </si>
  <si>
    <t>Recette variable.</t>
  </si>
  <si>
    <t>R0401</t>
  </si>
  <si>
    <t>beignet</t>
  </si>
  <si>
    <t>R0402</t>
  </si>
  <si>
    <t>R0403</t>
  </si>
  <si>
    <t>R0404</t>
  </si>
  <si>
    <t>burger</t>
  </si>
  <si>
    <t>R0405</t>
  </si>
  <si>
    <t>R0406</t>
  </si>
  <si>
    <t>R0407</t>
  </si>
  <si>
    <t>cocktail sour</t>
  </si>
  <si>
    <t>R0408</t>
  </si>
  <si>
    <t>R0409</t>
  </si>
  <si>
    <t>crème glacée</t>
  </si>
  <si>
    <t>creme glacee</t>
  </si>
  <si>
    <t>R0410</t>
  </si>
  <si>
    <t>farce fine</t>
  </si>
  <si>
    <t>R0411</t>
  </si>
  <si>
    <t>glace</t>
  </si>
  <si>
    <t>R0412</t>
  </si>
  <si>
    <t>mousse</t>
  </si>
  <si>
    <t>R0413</t>
  </si>
  <si>
    <t>mousseline</t>
  </si>
  <si>
    <t>R0414</t>
  </si>
  <si>
    <t>nouilles fraîches</t>
  </si>
  <si>
    <t>nouilles fraiches</t>
  </si>
  <si>
    <t>R0415</t>
  </si>
  <si>
    <t>pain brioché</t>
  </si>
  <si>
    <t>pain brioche</t>
  </si>
  <si>
    <t>R0416</t>
  </si>
  <si>
    <t>R0417</t>
  </si>
  <si>
    <t>pâté</t>
  </si>
  <si>
    <t>pate</t>
  </si>
  <si>
    <t>R0418</t>
  </si>
  <si>
    <t>pâtes fraîches</t>
  </si>
  <si>
    <t>pates fraiches</t>
  </si>
  <si>
    <t>R0419</t>
  </si>
  <si>
    <t>pisco sour</t>
  </si>
  <si>
    <t>R0420</t>
  </si>
  <si>
    <t>R0421</t>
  </si>
  <si>
    <t>ramen</t>
  </si>
  <si>
    <t>R0422</t>
  </si>
  <si>
    <t>R0423</t>
  </si>
  <si>
    <t>sorbet</t>
  </si>
  <si>
    <t>R0424</t>
  </si>
  <si>
    <t>R0425</t>
  </si>
  <si>
    <t>terrine</t>
  </si>
  <si>
    <t>R0426</t>
  </si>
  <si>
    <t>R0427</t>
  </si>
  <si>
    <t>whisky sour</t>
  </si>
  <si>
    <t>R0428</t>
  </si>
  <si>
    <t>SUSP_EXCL</t>
  </si>
  <si>
    <t>avec glace</t>
  </si>
  <si>
    <t>Exclusion limitée aux détections de composition variable.</t>
  </si>
  <si>
    <t>R0429</t>
  </si>
  <si>
    <t>avec glaçons</t>
  </si>
  <si>
    <t>avec glacons</t>
  </si>
  <si>
    <t>R0430</t>
  </si>
  <si>
    <t>glace pilée</t>
  </si>
  <si>
    <t>glace pilee</t>
  </si>
  <si>
    <t>R0431</t>
  </si>
  <si>
    <t>glaçons</t>
  </si>
  <si>
    <t>glacons</t>
  </si>
  <si>
    <t>R0432</t>
  </si>
  <si>
    <t>R0433</t>
  </si>
  <si>
    <t>R0434</t>
  </si>
  <si>
    <t>R0435</t>
  </si>
  <si>
    <t>on the rocks</t>
  </si>
  <si>
    <t>R0436</t>
  </si>
  <si>
    <t>sur glace</t>
  </si>
  <si>
    <t>R0437</t>
  </si>
  <si>
    <t>abadeche</t>
  </si>
  <si>
    <t>https://www.economie.gouv.fr/files/files/directions_services/dgccrf/consommation/Produits-de-la-mer/poissons-mars-2026.pdf</t>
  </si>
  <si>
    <t>mars 2026</t>
  </si>
  <si>
    <t>R0438</t>
  </si>
  <si>
    <t>abadeche barbiche</t>
  </si>
  <si>
    <t>R0439</t>
  </si>
  <si>
    <t>abadeche du cap</t>
  </si>
  <si>
    <t>R0440</t>
  </si>
  <si>
    <t>abadeche lingue</t>
  </si>
  <si>
    <t>R0441</t>
  </si>
  <si>
    <t>abadeche rose</t>
  </si>
  <si>
    <t>R0442</t>
  </si>
  <si>
    <t>abadeche royale du cap</t>
  </si>
  <si>
    <t>R0443</t>
  </si>
  <si>
    <t>able de hecket</t>
  </si>
  <si>
    <t>R0444</t>
  </si>
  <si>
    <t>ablette</t>
  </si>
  <si>
    <t>R0445</t>
  </si>
  <si>
    <t>achigan a grande bouche</t>
  </si>
  <si>
    <t>R0446</t>
  </si>
  <si>
    <t>acoupa aiguille</t>
  </si>
  <si>
    <t>R0447</t>
  </si>
  <si>
    <t>acoupa blanc</t>
  </si>
  <si>
    <t>R0448</t>
  </si>
  <si>
    <t>acoupa cambacu</t>
  </si>
  <si>
    <t>R0449</t>
  </si>
  <si>
    <t>acoupa canal</t>
  </si>
  <si>
    <t>R0450</t>
  </si>
  <si>
    <t>acoupa celeste</t>
  </si>
  <si>
    <t>R0451</t>
  </si>
  <si>
    <t>acoupa chasseur</t>
  </si>
  <si>
    <t>R0452</t>
  </si>
  <si>
    <t>acoupa dore</t>
  </si>
  <si>
    <t>R0453</t>
  </si>
  <si>
    <t>acoupa pintade</t>
  </si>
  <si>
    <t>R0454</t>
  </si>
  <si>
    <t>acoupa raye</t>
  </si>
  <si>
    <t>R0455</t>
  </si>
  <si>
    <t>acoupa riviere</t>
  </si>
  <si>
    <t>R0456</t>
  </si>
  <si>
    <t>acoupa royal</t>
  </si>
  <si>
    <t>R0457</t>
  </si>
  <si>
    <t>acoupa tident</t>
  </si>
  <si>
    <t>R0458</t>
  </si>
  <si>
    <t>acoupa toeroe</t>
  </si>
  <si>
    <t>R0459</t>
  </si>
  <si>
    <t>aigle de mer</t>
  </si>
  <si>
    <t>R0460</t>
  </si>
  <si>
    <t>aigle de mer commun</t>
  </si>
  <si>
    <t>R0461</t>
  </si>
  <si>
    <t>aiguillat commun</t>
  </si>
  <si>
    <t>R0462</t>
  </si>
  <si>
    <t>aiguillat coq</t>
  </si>
  <si>
    <t>R0463</t>
  </si>
  <si>
    <t>aiguillat galludo</t>
  </si>
  <si>
    <t>R0464</t>
  </si>
  <si>
    <t>aiguillette d amerique orphie</t>
  </si>
  <si>
    <t>R0465</t>
  </si>
  <si>
    <t>aileron argente</t>
  </si>
  <si>
    <t>R0466</t>
  </si>
  <si>
    <t>aileron chinois</t>
  </si>
  <si>
    <t>R0467</t>
  </si>
  <si>
    <t>alose</t>
  </si>
  <si>
    <t>R0468</t>
  </si>
  <si>
    <t>alose d ete</t>
  </si>
  <si>
    <t>R0469</t>
  </si>
  <si>
    <t>alose de la mer noire</t>
  </si>
  <si>
    <t>R0470</t>
  </si>
  <si>
    <t>alose du pont euxin</t>
  </si>
  <si>
    <t>R0471</t>
  </si>
  <si>
    <t>alose ecaille fluviale</t>
  </si>
  <si>
    <t>R0472</t>
  </si>
  <si>
    <t>alose feinte</t>
  </si>
  <si>
    <t>R0473</t>
  </si>
  <si>
    <t>alose gaspareau</t>
  </si>
  <si>
    <t>R0474</t>
  </si>
  <si>
    <t>alose matte</t>
  </si>
  <si>
    <t>R0475</t>
  </si>
  <si>
    <t>alose savoureuse</t>
  </si>
  <si>
    <t>R0476</t>
  </si>
  <si>
    <t>alose vraie</t>
  </si>
  <si>
    <t>R0477</t>
  </si>
  <si>
    <t>anchoïade</t>
  </si>
  <si>
    <t>anchoiade</t>
  </si>
  <si>
    <t>Poisson ou dérivé explicite.</t>
  </si>
  <si>
    <t>R0478</t>
  </si>
  <si>
    <t>anchois</t>
  </si>
  <si>
    <t>R0479</t>
  </si>
  <si>
    <t>anchois bombra</t>
  </si>
  <si>
    <t>R0480</t>
  </si>
  <si>
    <t>anchois commun</t>
  </si>
  <si>
    <t>R0481</t>
  </si>
  <si>
    <t>anchois d argentine</t>
  </si>
  <si>
    <t>R0482</t>
  </si>
  <si>
    <t>anchois du cap</t>
  </si>
  <si>
    <t>R0483</t>
  </si>
  <si>
    <t>anchois du perou</t>
  </si>
  <si>
    <t>R0484</t>
  </si>
  <si>
    <t>anchois indien</t>
  </si>
  <si>
    <t>R0485</t>
  </si>
  <si>
    <t>anchovies</t>
  </si>
  <si>
    <t>R0486</t>
  </si>
  <si>
    <t>anchovy</t>
  </si>
  <si>
    <t>R0487</t>
  </si>
  <si>
    <t>ange de mer</t>
  </si>
  <si>
    <t>R0488</t>
  </si>
  <si>
    <t>ange de mer commun</t>
  </si>
  <si>
    <t>R0489</t>
  </si>
  <si>
    <t>anguille</t>
  </si>
  <si>
    <t>R0490</t>
  </si>
  <si>
    <t>anguille d amerique</t>
  </si>
  <si>
    <t>R0491</t>
  </si>
  <si>
    <t>anguille d australie</t>
  </si>
  <si>
    <t>R0492</t>
  </si>
  <si>
    <t>anguille d europe</t>
  </si>
  <si>
    <t>R0493</t>
  </si>
  <si>
    <t>anguille de nouvelle zelande</t>
  </si>
  <si>
    <t>R0494</t>
  </si>
  <si>
    <t>anguille du japon</t>
  </si>
  <si>
    <t>R0495</t>
  </si>
  <si>
    <t>antimora bleu</t>
  </si>
  <si>
    <t>R0496</t>
  </si>
  <si>
    <t>atherine peruvienne</t>
  </si>
  <si>
    <t>R0497</t>
  </si>
  <si>
    <t>badeche rouge</t>
  </si>
  <si>
    <t>R0498</t>
  </si>
  <si>
    <t>bagre laulao</t>
  </si>
  <si>
    <t>R0499</t>
  </si>
  <si>
    <t>bagre paysan</t>
  </si>
  <si>
    <t>R0500</t>
  </si>
  <si>
    <t>bagre vaillant</t>
  </si>
  <si>
    <t>R0501</t>
  </si>
  <si>
    <t>balai de l atlantique</t>
  </si>
  <si>
    <t>R0502</t>
  </si>
  <si>
    <t>balaou de l atlantique</t>
  </si>
  <si>
    <t>R0503</t>
  </si>
  <si>
    <t>balaou du japon</t>
  </si>
  <si>
    <t>R0504</t>
  </si>
  <si>
    <t>bar</t>
  </si>
  <si>
    <t>R0505</t>
  </si>
  <si>
    <t>bar blanc d amerique</t>
  </si>
  <si>
    <t>R0506</t>
  </si>
  <si>
    <t>bar commun</t>
  </si>
  <si>
    <t>R0507</t>
  </si>
  <si>
    <t>bar d amerique</t>
  </si>
  <si>
    <t>R0508</t>
  </si>
  <si>
    <t>bar du pacifique</t>
  </si>
  <si>
    <t>R0509</t>
  </si>
  <si>
    <t>bar tachete</t>
  </si>
  <si>
    <t>R0510</t>
  </si>
  <si>
    <t>barbeau</t>
  </si>
  <si>
    <t>R0511</t>
  </si>
  <si>
    <t>barbure mamali</t>
  </si>
  <si>
    <t>R0512</t>
  </si>
  <si>
    <t>barracuda</t>
  </si>
  <si>
    <t>R0513</t>
  </si>
  <si>
    <t>barracuda a bandes dorees</t>
  </si>
  <si>
    <t>R0514</t>
  </si>
  <si>
    <t>barracuda argente</t>
  </si>
  <si>
    <t>R0515</t>
  </si>
  <si>
    <t>barracuda dents de scie</t>
  </si>
  <si>
    <t>R0516</t>
  </si>
  <si>
    <t>barracuda guachanche</t>
  </si>
  <si>
    <t>R0517</t>
  </si>
  <si>
    <t>barracuda guineen</t>
  </si>
  <si>
    <t>R0518</t>
  </si>
  <si>
    <t>barracuda jello</t>
  </si>
  <si>
    <t>R0519</t>
  </si>
  <si>
    <t>baudroie</t>
  </si>
  <si>
    <t>R0520</t>
  </si>
  <si>
    <t>baudroie africaine</t>
  </si>
  <si>
    <t>R0521</t>
  </si>
  <si>
    <t>baudroie commune</t>
  </si>
  <si>
    <t>R0522</t>
  </si>
  <si>
    <t>baudroie d amerique</t>
  </si>
  <si>
    <t>R0523</t>
  </si>
  <si>
    <t>baudroie diable</t>
  </si>
  <si>
    <t>R0524</t>
  </si>
  <si>
    <t>baudroie du japon</t>
  </si>
  <si>
    <t>R0525</t>
  </si>
  <si>
    <t>baudroie pecheuse</t>
  </si>
  <si>
    <t>R0526</t>
  </si>
  <si>
    <t>baudroie rousse</t>
  </si>
  <si>
    <t>R0527</t>
  </si>
  <si>
    <t>beauclaire miroir</t>
  </si>
  <si>
    <t>R0528</t>
  </si>
  <si>
    <t>beauclaire pintade</t>
  </si>
  <si>
    <t>R0529</t>
  </si>
  <si>
    <t>beauclaire soleil</t>
  </si>
  <si>
    <t>R0530</t>
  </si>
  <si>
    <t>becune argentee</t>
  </si>
  <si>
    <t>R0531</t>
  </si>
  <si>
    <t>becune europeenne</t>
  </si>
  <si>
    <t>R0532</t>
  </si>
  <si>
    <t>becune guachanche</t>
  </si>
  <si>
    <t>R0533</t>
  </si>
  <si>
    <t>becune guineenne</t>
  </si>
  <si>
    <t>R0534</t>
  </si>
  <si>
    <t>becune jello</t>
  </si>
  <si>
    <t>R0535</t>
  </si>
  <si>
    <t>bereche du pacifique</t>
  </si>
  <si>
    <t>R0536</t>
  </si>
  <si>
    <t>beryx australien</t>
  </si>
  <si>
    <t>R0537</t>
  </si>
  <si>
    <t>beryx commun</t>
  </si>
  <si>
    <t>R0538</t>
  </si>
  <si>
    <t>beryx long</t>
  </si>
  <si>
    <t>R0539</t>
  </si>
  <si>
    <t>bonite</t>
  </si>
  <si>
    <t>R0540</t>
  </si>
  <si>
    <t>bonite a dos raye</t>
  </si>
  <si>
    <t>R0541</t>
  </si>
  <si>
    <t>bonite a ventre raye</t>
  </si>
  <si>
    <t>R0542</t>
  </si>
  <si>
    <t>bonite de l ocean indien</t>
  </si>
  <si>
    <t>R0543</t>
  </si>
  <si>
    <t>bonite du pacifique oriental</t>
  </si>
  <si>
    <t>R0544</t>
  </si>
  <si>
    <t>bottarga</t>
  </si>
  <si>
    <t>R0545</t>
  </si>
  <si>
    <t>bouillabaisse</t>
  </si>
  <si>
    <t>R0546</t>
  </si>
  <si>
    <t>bourride</t>
  </si>
  <si>
    <t>R0547</t>
  </si>
  <si>
    <t>bourrugue de crique</t>
  </si>
  <si>
    <t>R0548</t>
  </si>
  <si>
    <t>bourrugue du golfe</t>
  </si>
  <si>
    <t>R0549</t>
  </si>
  <si>
    <t>bourrugue renard</t>
  </si>
  <si>
    <t>R0550</t>
  </si>
  <si>
    <t>bourse lisse</t>
  </si>
  <si>
    <t>R0551</t>
  </si>
  <si>
    <t>bourse loulou</t>
  </si>
  <si>
    <t>R0552</t>
  </si>
  <si>
    <t>boutargue</t>
  </si>
  <si>
    <t>R0553</t>
  </si>
  <si>
    <t>brandade</t>
  </si>
  <si>
    <t>R0554</t>
  </si>
  <si>
    <t>breme bordeliere</t>
  </si>
  <si>
    <t>R0555</t>
  </si>
  <si>
    <t>breme noire</t>
  </si>
  <si>
    <t>R0556</t>
  </si>
  <si>
    <t>brochet</t>
  </si>
  <si>
    <t>R0557</t>
  </si>
  <si>
    <t>brotule barbee</t>
  </si>
  <si>
    <t>R0558</t>
  </si>
  <si>
    <t>brotule rosee</t>
  </si>
  <si>
    <t>R0559</t>
  </si>
  <si>
    <t>cabillaud</t>
  </si>
  <si>
    <t>R0560</t>
  </si>
  <si>
    <t>cabot austral</t>
  </si>
  <si>
    <t>R0561</t>
  </si>
  <si>
    <t>caesio a croissant</t>
  </si>
  <si>
    <t>R0562</t>
  </si>
  <si>
    <t>caesio a ventre rouge</t>
  </si>
  <si>
    <t>R0563</t>
  </si>
  <si>
    <t>cagna rayee</t>
  </si>
  <si>
    <t>R0564</t>
  </si>
  <si>
    <t>capelan atlantique</t>
  </si>
  <si>
    <t>R0565</t>
  </si>
  <si>
    <t>capelan de mediterranee</t>
  </si>
  <si>
    <t>R0566</t>
  </si>
  <si>
    <t>capitaine tatoue</t>
  </si>
  <si>
    <t>R0567</t>
  </si>
  <si>
    <t>capucette de l atlantique</t>
  </si>
  <si>
    <t>R0568</t>
  </si>
  <si>
    <t>capucin jaune</t>
  </si>
  <si>
    <t>R0569</t>
  </si>
  <si>
    <t>carangue</t>
  </si>
  <si>
    <t>R0570</t>
  </si>
  <si>
    <t>carangue arc en ciel</t>
  </si>
  <si>
    <t>R0571</t>
  </si>
  <si>
    <t>carangue balo</t>
  </si>
  <si>
    <t>R0572</t>
  </si>
  <si>
    <t>carangue coubali</t>
  </si>
  <si>
    <t>R0573</t>
  </si>
  <si>
    <t>carangue crevalle</t>
  </si>
  <si>
    <t>R0574</t>
  </si>
  <si>
    <t>carangue dentee</t>
  </si>
  <si>
    <t>R0575</t>
  </si>
  <si>
    <t>carangue grosse tete</t>
  </si>
  <si>
    <t>R0576</t>
  </si>
  <si>
    <t>carangue moyole</t>
  </si>
  <si>
    <t>R0577</t>
  </si>
  <si>
    <t>carangue pailletee</t>
  </si>
  <si>
    <t>R0578</t>
  </si>
  <si>
    <t>carangue vorace</t>
  </si>
  <si>
    <t>R0579</t>
  </si>
  <si>
    <t>cardeau argentin</t>
  </si>
  <si>
    <t>R0580</t>
  </si>
  <si>
    <t>cardeau d ete</t>
  </si>
  <si>
    <t>R0581</t>
  </si>
  <si>
    <t>cardeau hirame</t>
  </si>
  <si>
    <t>R0582</t>
  </si>
  <si>
    <t>cardine</t>
  </si>
  <si>
    <t>R0583</t>
  </si>
  <si>
    <t>cardine a quatre taches</t>
  </si>
  <si>
    <t>R0584</t>
  </si>
  <si>
    <t>cardine de californie</t>
  </si>
  <si>
    <t>R0585</t>
  </si>
  <si>
    <t>cardine du canada</t>
  </si>
  <si>
    <t>R0586</t>
  </si>
  <si>
    <t>cardine du pacifique</t>
  </si>
  <si>
    <t>R0587</t>
  </si>
  <si>
    <t>cardine franche</t>
  </si>
  <si>
    <t>R0588</t>
  </si>
  <si>
    <t>cardine tropicale</t>
  </si>
  <si>
    <t>R0589</t>
  </si>
  <si>
    <t>carpe</t>
  </si>
  <si>
    <t>R0590</t>
  </si>
  <si>
    <t>carrelet</t>
  </si>
  <si>
    <t>R0591</t>
  </si>
  <si>
    <t>castagnole</t>
  </si>
  <si>
    <t>R0592</t>
  </si>
  <si>
    <t>castagnoline noire</t>
  </si>
  <si>
    <t>R0593</t>
  </si>
  <si>
    <t>castanette d argentine</t>
  </si>
  <si>
    <t>R0594</t>
  </si>
  <si>
    <t>caviar</t>
  </si>
  <si>
    <t>R0595</t>
  </si>
  <si>
    <t>cepole commune</t>
  </si>
  <si>
    <t>R0596</t>
  </si>
  <si>
    <t>cernier commun</t>
  </si>
  <si>
    <t>R0597</t>
  </si>
  <si>
    <t>cernier de nouvelle zelande</t>
  </si>
  <si>
    <t>R0598</t>
  </si>
  <si>
    <t>chabot de mer</t>
  </si>
  <si>
    <t>R0599</t>
  </si>
  <si>
    <t>charbonnier</t>
  </si>
  <si>
    <t>R0600</t>
  </si>
  <si>
    <t>chardin du pacifique</t>
  </si>
  <si>
    <t>R0601</t>
  </si>
  <si>
    <t>chardin fil</t>
  </si>
  <si>
    <t>R0602</t>
  </si>
  <si>
    <t>chimere commune</t>
  </si>
  <si>
    <t>R0603</t>
  </si>
  <si>
    <t>chinchard</t>
  </si>
  <si>
    <t>R0604</t>
  </si>
  <si>
    <t>chinchard a queue jaune</t>
  </si>
  <si>
    <t>R0605</t>
  </si>
  <si>
    <t>chinchard commun</t>
  </si>
  <si>
    <t>R0606</t>
  </si>
  <si>
    <t>chinchard cunene</t>
  </si>
  <si>
    <t>R0607</t>
  </si>
  <si>
    <t>chinchard du cap</t>
  </si>
  <si>
    <t>R0608</t>
  </si>
  <si>
    <t>chinchard du large</t>
  </si>
  <si>
    <t>R0609</t>
  </si>
  <si>
    <t>chinchard frappeur</t>
  </si>
  <si>
    <t>R0610</t>
  </si>
  <si>
    <t>clupeonelle de la mer noire et caspienne</t>
  </si>
  <si>
    <t>R0611</t>
  </si>
  <si>
    <t>cod</t>
  </si>
  <si>
    <t>R0612</t>
  </si>
  <si>
    <t>cohana doree</t>
  </si>
  <si>
    <t>R0613</t>
  </si>
  <si>
    <t>cohana tolu</t>
  </si>
  <si>
    <t>R0614</t>
  </si>
  <si>
    <t>colas a bandes dorees</t>
  </si>
  <si>
    <t>R0615</t>
  </si>
  <si>
    <t>colas bagnard</t>
  </si>
  <si>
    <t>R0616</t>
  </si>
  <si>
    <t>colas fil</t>
  </si>
  <si>
    <t>R0617</t>
  </si>
  <si>
    <t>colin austral</t>
  </si>
  <si>
    <t>R0618</t>
  </si>
  <si>
    <t>colin d alaska</t>
  </si>
  <si>
    <t>R0619</t>
  </si>
  <si>
    <t>colin des kerguelen</t>
  </si>
  <si>
    <t>R0620</t>
  </si>
  <si>
    <t>colin</t>
  </si>
  <si>
    <t>Dénomination usuelle générique de poisson. Détecte notamment dos de colin, filet de colin et colin surgelé.</t>
  </si>
  <si>
    <t>R0621</t>
  </si>
  <si>
    <t>comete de russel</t>
  </si>
  <si>
    <t>R0622</t>
  </si>
  <si>
    <t>comete ronde</t>
  </si>
  <si>
    <t>R0623</t>
  </si>
  <si>
    <t>compere tachete</t>
  </si>
  <si>
    <t>R0624</t>
  </si>
  <si>
    <t>congre</t>
  </si>
  <si>
    <t>R0625</t>
  </si>
  <si>
    <t>congre argentin</t>
  </si>
  <si>
    <t>R0626</t>
  </si>
  <si>
    <t>congre commun</t>
  </si>
  <si>
    <t>R0627</t>
  </si>
  <si>
    <t>corb commun</t>
  </si>
  <si>
    <t>R0628</t>
  </si>
  <si>
    <t>cordonnier bossu</t>
  </si>
  <si>
    <t>R0629</t>
  </si>
  <si>
    <t>coregone</t>
  </si>
  <si>
    <t>R0630</t>
  </si>
  <si>
    <t>coregone blanc</t>
  </si>
  <si>
    <t>R0631</t>
  </si>
  <si>
    <t>coregone cisco</t>
  </si>
  <si>
    <t>R0632</t>
  </si>
  <si>
    <t>coregone du lac</t>
  </si>
  <si>
    <t>R0633</t>
  </si>
  <si>
    <t>coregone lavaret</t>
  </si>
  <si>
    <t>R0634</t>
  </si>
  <si>
    <t>coregone pallae</t>
  </si>
  <si>
    <t>R0635</t>
  </si>
  <si>
    <t>coregone pollan</t>
  </si>
  <si>
    <t>R0636</t>
  </si>
  <si>
    <t>coryphene</t>
  </si>
  <si>
    <t>R0637</t>
  </si>
  <si>
    <t>courbine barbiche</t>
  </si>
  <si>
    <t>R0638</t>
  </si>
  <si>
    <t>courbine barbichette</t>
  </si>
  <si>
    <t>R0639</t>
  </si>
  <si>
    <t>courbine bobo</t>
  </si>
  <si>
    <t>R0640</t>
  </si>
  <si>
    <t>courbine chasseur</t>
  </si>
  <si>
    <t>R0641</t>
  </si>
  <si>
    <t>courbine du senegal</t>
  </si>
  <si>
    <t>R0642</t>
  </si>
  <si>
    <t>courbine gabo</t>
  </si>
  <si>
    <t>R0643</t>
  </si>
  <si>
    <t>courbine grise</t>
  </si>
  <si>
    <t>R0644</t>
  </si>
  <si>
    <t>courbine indienne</t>
  </si>
  <si>
    <t>R0645</t>
  </si>
  <si>
    <t>courbine jaune</t>
  </si>
  <si>
    <t>R0646</t>
  </si>
  <si>
    <t>courbine nanka</t>
  </si>
  <si>
    <t>R0647</t>
  </si>
  <si>
    <t>courbine pintade</t>
  </si>
  <si>
    <t>R0648</t>
  </si>
  <si>
    <t>courbine soldat</t>
  </si>
  <si>
    <t>R0649</t>
  </si>
  <si>
    <t>courbine tachetee</t>
  </si>
  <si>
    <t>R0650</t>
  </si>
  <si>
    <t>courbine ti yeux</t>
  </si>
  <si>
    <t>R0651</t>
  </si>
  <si>
    <t>crapaud goulu</t>
  </si>
  <si>
    <t>R0652</t>
  </si>
  <si>
    <t>crapaud guyanais</t>
  </si>
  <si>
    <t>R0653</t>
  </si>
  <si>
    <t>croissant queue blanche</t>
  </si>
  <si>
    <t>R0654</t>
  </si>
  <si>
    <t>croissant queue jaune</t>
  </si>
  <si>
    <t>R0655</t>
  </si>
  <si>
    <t>crossie blanc</t>
  </si>
  <si>
    <t>R0656</t>
  </si>
  <si>
    <t>crossie chucumite</t>
  </si>
  <si>
    <t>R0657</t>
  </si>
  <si>
    <t>crossie constantin</t>
  </si>
  <si>
    <t>R0658</t>
  </si>
  <si>
    <t>crossie epee</t>
  </si>
  <si>
    <t>R0659</t>
  </si>
  <si>
    <t>crossie mexicain</t>
  </si>
  <si>
    <t>R0660</t>
  </si>
  <si>
    <t>croupia grande mer</t>
  </si>
  <si>
    <t>R0661</t>
  </si>
  <si>
    <t>croupia roche</t>
  </si>
  <si>
    <t>R0662</t>
  </si>
  <si>
    <t>cyprin dore</t>
  </si>
  <si>
    <t>R0663</t>
  </si>
  <si>
    <t>daurade</t>
  </si>
  <si>
    <t>R0664</t>
  </si>
  <si>
    <t>demi bec</t>
  </si>
  <si>
    <t>R0665</t>
  </si>
  <si>
    <t>demi bec du bresil</t>
  </si>
  <si>
    <t>R0666</t>
  </si>
  <si>
    <t>demi bec du japon</t>
  </si>
  <si>
    <t>R0667</t>
  </si>
  <si>
    <t>demi bec du pacifique</t>
  </si>
  <si>
    <t>R0668</t>
  </si>
  <si>
    <t>dente a gros yeux</t>
  </si>
  <si>
    <t>R0669</t>
  </si>
  <si>
    <t>dente a points bleu</t>
  </si>
  <si>
    <t>R0670</t>
  </si>
  <si>
    <t>dente a tache rouge</t>
  </si>
  <si>
    <t>R0671</t>
  </si>
  <si>
    <t>dente angolais</t>
  </si>
  <si>
    <t>R0672</t>
  </si>
  <si>
    <t>dente commun</t>
  </si>
  <si>
    <t>R0673</t>
  </si>
  <si>
    <t>dente congolais</t>
  </si>
  <si>
    <t>R0674</t>
  </si>
  <si>
    <t>dente de l ocean indien</t>
  </si>
  <si>
    <t>R0675</t>
  </si>
  <si>
    <t>dente des canaries</t>
  </si>
  <si>
    <t>R0676</t>
  </si>
  <si>
    <t>dente du maroc</t>
  </si>
  <si>
    <t>R0677</t>
  </si>
  <si>
    <t>dente rose</t>
  </si>
  <si>
    <t>R0678</t>
  </si>
  <si>
    <t>diagramme a barres blanches</t>
  </si>
  <si>
    <t>R0679</t>
  </si>
  <si>
    <t>diagramme bagnard</t>
  </si>
  <si>
    <t>R0680</t>
  </si>
  <si>
    <t>diagramme burro</t>
  </si>
  <si>
    <t>R0681</t>
  </si>
  <si>
    <t>diagramme citron</t>
  </si>
  <si>
    <t>R0682</t>
  </si>
  <si>
    <t>diagramme voilier</t>
  </si>
  <si>
    <t>R0683</t>
  </si>
  <si>
    <t>disque portugais</t>
  </si>
  <si>
    <t>R0684</t>
  </si>
  <si>
    <t>donzelle a nageoire noire</t>
  </si>
  <si>
    <t>R0685</t>
  </si>
  <si>
    <t>dorade</t>
  </si>
  <si>
    <t>R0686</t>
  </si>
  <si>
    <t>dorade argentee</t>
  </si>
  <si>
    <t>R0687</t>
  </si>
  <si>
    <t>dorade coryphene</t>
  </si>
  <si>
    <t>R0688</t>
  </si>
  <si>
    <t>dorade du pacifique</t>
  </si>
  <si>
    <t>R0689</t>
  </si>
  <si>
    <t>dorade grise</t>
  </si>
  <si>
    <t>R0690</t>
  </si>
  <si>
    <t>dorade marbre</t>
  </si>
  <si>
    <t>R0691</t>
  </si>
  <si>
    <t>dorade rose</t>
  </si>
  <si>
    <t>R0692</t>
  </si>
  <si>
    <t>dorade rouge</t>
  </si>
  <si>
    <t>R0693</t>
  </si>
  <si>
    <t>dorade royale</t>
  </si>
  <si>
    <t>R0694</t>
  </si>
  <si>
    <t>dorade sebaste</t>
  </si>
  <si>
    <t>R0695</t>
  </si>
  <si>
    <t>dore austral</t>
  </si>
  <si>
    <t>R0696</t>
  </si>
  <si>
    <t>dore epineux</t>
  </si>
  <si>
    <t>R0697</t>
  </si>
  <si>
    <t>dore jaune</t>
  </si>
  <si>
    <t>R0698</t>
  </si>
  <si>
    <t>dore noir</t>
  </si>
  <si>
    <t>R0699</t>
  </si>
  <si>
    <t>dore tachete</t>
  </si>
  <si>
    <t>R0700</t>
  </si>
  <si>
    <t>dore verruqueux</t>
  </si>
  <si>
    <t>R0701</t>
  </si>
  <si>
    <t>dragonnet lyre</t>
  </si>
  <si>
    <t>R0702</t>
  </si>
  <si>
    <t>eglefin</t>
  </si>
  <si>
    <t>R0703</t>
  </si>
  <si>
    <t>emissole blanche</t>
  </si>
  <si>
    <t>R0704</t>
  </si>
  <si>
    <t>emissole douce</t>
  </si>
  <si>
    <t>R0705</t>
  </si>
  <si>
    <t>emissole gatuso</t>
  </si>
  <si>
    <t>R0706</t>
  </si>
  <si>
    <t>emissole lisse</t>
  </si>
  <si>
    <t>R0707</t>
  </si>
  <si>
    <t>emissole tachetee</t>
  </si>
  <si>
    <t>R0708</t>
  </si>
  <si>
    <t>emissole ti yeux</t>
  </si>
  <si>
    <t>R0709</t>
  </si>
  <si>
    <t>empereur</t>
  </si>
  <si>
    <t>R0710</t>
  </si>
  <si>
    <t>empereur de mediterranee</t>
  </si>
  <si>
    <t>R0711</t>
  </si>
  <si>
    <t>en eau de mer</t>
  </si>
  <si>
    <t>R0712</t>
  </si>
  <si>
    <t>eperlan d amerique</t>
  </si>
  <si>
    <t>R0713</t>
  </si>
  <si>
    <t>eperlan d europe</t>
  </si>
  <si>
    <t>R0714</t>
  </si>
  <si>
    <t>escolier blanc</t>
  </si>
  <si>
    <t>R0715</t>
  </si>
  <si>
    <t>escolier noir</t>
  </si>
  <si>
    <t>R0716</t>
  </si>
  <si>
    <t>espadon</t>
  </si>
  <si>
    <t>R0717</t>
  </si>
  <si>
    <t>esturgeon a museau court</t>
  </si>
  <si>
    <t>R0718</t>
  </si>
  <si>
    <t>esturgeon beluga</t>
  </si>
  <si>
    <t>R0719</t>
  </si>
  <si>
    <t>esturgeon blanc</t>
  </si>
  <si>
    <t>R0720</t>
  </si>
  <si>
    <t>esturgeon d europe occidentale</t>
  </si>
  <si>
    <t>R0721</t>
  </si>
  <si>
    <t>esturgeon du danube</t>
  </si>
  <si>
    <t>R0722</t>
  </si>
  <si>
    <t>esturgeon etoile</t>
  </si>
  <si>
    <t>R0723</t>
  </si>
  <si>
    <t>esturgeon jaune d amerique</t>
  </si>
  <si>
    <t>R0724</t>
  </si>
  <si>
    <t>esturgeon noir d amerique</t>
  </si>
  <si>
    <t>R0725</t>
  </si>
  <si>
    <t>esturgeon perse</t>
  </si>
  <si>
    <t>R0726</t>
  </si>
  <si>
    <t>esturgeon siberien</t>
  </si>
  <si>
    <t>R0727</t>
  </si>
  <si>
    <t>esturgeon sterlet</t>
  </si>
  <si>
    <t>R0728</t>
  </si>
  <si>
    <t>ethmalose d afrique</t>
  </si>
  <si>
    <t>R0729</t>
  </si>
  <si>
    <t>fanfre noir d amerique</t>
  </si>
  <si>
    <t>R0730</t>
  </si>
  <si>
    <t>farine de poisson</t>
  </si>
  <si>
    <t>R0731</t>
  </si>
  <si>
    <t>fausse limande</t>
  </si>
  <si>
    <t>R0732</t>
  </si>
  <si>
    <t>fausse limande du pacifique</t>
  </si>
  <si>
    <t>R0733</t>
  </si>
  <si>
    <t>fausse limande sombre</t>
  </si>
  <si>
    <t>R0734</t>
  </si>
  <si>
    <t>faux saint pierre</t>
  </si>
  <si>
    <t>R0735</t>
  </si>
  <si>
    <t>fera du canada</t>
  </si>
  <si>
    <t>R0736</t>
  </si>
  <si>
    <t>filet de poisson</t>
  </si>
  <si>
    <t>R0737</t>
  </si>
  <si>
    <t>fish</t>
  </si>
  <si>
    <t>R0738</t>
  </si>
  <si>
    <t>fish sauce</t>
  </si>
  <si>
    <t>R0739</t>
  </si>
  <si>
    <t>flet commun</t>
  </si>
  <si>
    <t>R0740</t>
  </si>
  <si>
    <t>fletan</t>
  </si>
  <si>
    <t>R0741</t>
  </si>
  <si>
    <t>fletan de l atlantique</t>
  </si>
  <si>
    <t>R0742</t>
  </si>
  <si>
    <t>fletan du groenland</t>
  </si>
  <si>
    <t>R0743</t>
  </si>
  <si>
    <t>fletan du pacifique</t>
  </si>
  <si>
    <t>R0744</t>
  </si>
  <si>
    <t>fletan noir</t>
  </si>
  <si>
    <t>R0745</t>
  </si>
  <si>
    <t>fletan noir commun</t>
  </si>
  <si>
    <t>R0746</t>
  </si>
  <si>
    <t>fond de poisson</t>
  </si>
  <si>
    <t>R0747</t>
  </si>
  <si>
    <t>forgeron aile</t>
  </si>
  <si>
    <t>R0748</t>
  </si>
  <si>
    <t>forgeron ponctue</t>
  </si>
  <si>
    <t>R0749</t>
  </si>
  <si>
    <t>fouget barbet barberin</t>
  </si>
  <si>
    <t>R0750</t>
  </si>
  <si>
    <t>fumet de poisson</t>
  </si>
  <si>
    <t>R0751</t>
  </si>
  <si>
    <t>fusilier a bande large</t>
  </si>
  <si>
    <t>R0752</t>
  </si>
  <si>
    <t>fusilier a bandes variees</t>
  </si>
  <si>
    <t>R0753</t>
  </si>
  <si>
    <t>fusilier a deux bandes</t>
  </si>
  <si>
    <t>R0754</t>
  </si>
  <si>
    <t>fusilier a dos jaune</t>
  </si>
  <si>
    <t>R0755</t>
  </si>
  <si>
    <t>fusilier a dos jaune et bleu</t>
  </si>
  <si>
    <t>R0756</t>
  </si>
  <si>
    <t>fusilier a trois bandes</t>
  </si>
  <si>
    <t>R0757</t>
  </si>
  <si>
    <t>fusilier a une bande</t>
  </si>
  <si>
    <t>R0758</t>
  </si>
  <si>
    <t>fusilier banane</t>
  </si>
  <si>
    <t>R0759</t>
  </si>
  <si>
    <t>fusilier capricorne</t>
  </si>
  <si>
    <t>R0760</t>
  </si>
  <si>
    <t>fusilier de randall</t>
  </si>
  <si>
    <t>R0761</t>
  </si>
  <si>
    <t>fusilier de suez</t>
  </si>
  <si>
    <t>R0762</t>
  </si>
  <si>
    <t>fusilier strie</t>
  </si>
  <si>
    <t>R0763</t>
  </si>
  <si>
    <t>gardon</t>
  </si>
  <si>
    <t>R0764</t>
  </si>
  <si>
    <t>garum</t>
  </si>
  <si>
    <t>R0765</t>
  </si>
  <si>
    <t>gélatine de poisson</t>
  </si>
  <si>
    <t>gelatine de poisson</t>
  </si>
  <si>
    <t>R0766</t>
  </si>
  <si>
    <t>gelée de poisson</t>
  </si>
  <si>
    <t>gelee de poisson</t>
  </si>
  <si>
    <t>R0767</t>
  </si>
  <si>
    <t>goret mule</t>
  </si>
  <si>
    <t>R0768</t>
  </si>
  <si>
    <t>gorette catire</t>
  </si>
  <si>
    <t>R0769</t>
  </si>
  <si>
    <t>gorette jaune</t>
  </si>
  <si>
    <t>R0770</t>
  </si>
  <si>
    <t>goujon</t>
  </si>
  <si>
    <t>R0771</t>
  </si>
  <si>
    <t>grand requin marteau</t>
  </si>
  <si>
    <t>R0772</t>
  </si>
  <si>
    <t>grand tambour</t>
  </si>
  <si>
    <t>R0773</t>
  </si>
  <si>
    <t>grande allache</t>
  </si>
  <si>
    <t>R0774</t>
  </si>
  <si>
    <t>grande argentine</t>
  </si>
  <si>
    <t>R0775</t>
  </si>
  <si>
    <t>grande catagnole</t>
  </si>
  <si>
    <t>R0776</t>
  </si>
  <si>
    <t>grande gueule</t>
  </si>
  <si>
    <t>R0777</t>
  </si>
  <si>
    <t>grande moride</t>
  </si>
  <si>
    <t>R0778</t>
  </si>
  <si>
    <t>grande raie</t>
  </si>
  <si>
    <t>R0779</t>
  </si>
  <si>
    <t>grande roussette</t>
  </si>
  <si>
    <t>R0780</t>
  </si>
  <si>
    <t>grande verrue tigre</t>
  </si>
  <si>
    <t>R0781</t>
  </si>
  <si>
    <t>grande vive</t>
  </si>
  <si>
    <t>R0782</t>
  </si>
  <si>
    <t>grenadier</t>
  </si>
  <si>
    <t>R0783</t>
  </si>
  <si>
    <t>grenadier antarctique</t>
  </si>
  <si>
    <t>R0784</t>
  </si>
  <si>
    <t>grenadier bleu</t>
  </si>
  <si>
    <t>R0785</t>
  </si>
  <si>
    <t>grenadier de roche</t>
  </si>
  <si>
    <t>R0786</t>
  </si>
  <si>
    <t>grenadier fouet</t>
  </si>
  <si>
    <t>R0787</t>
  </si>
  <si>
    <t>grenadier geant</t>
  </si>
  <si>
    <t>R0788</t>
  </si>
  <si>
    <t>grenadier gros yeux des kerguelen</t>
  </si>
  <si>
    <t>R0789</t>
  </si>
  <si>
    <t>grondeur coq</t>
  </si>
  <si>
    <t>R0790</t>
  </si>
  <si>
    <t>grondeur nez de cochon</t>
  </si>
  <si>
    <t>R0791</t>
  </si>
  <si>
    <t>grondeur perroquet</t>
  </si>
  <si>
    <t>R0792</t>
  </si>
  <si>
    <t>grondeur sompat</t>
  </si>
  <si>
    <t>R0793</t>
  </si>
  <si>
    <t>grondin</t>
  </si>
  <si>
    <t>R0794</t>
  </si>
  <si>
    <t>grondin a aile bleue</t>
  </si>
  <si>
    <t>R0795</t>
  </si>
  <si>
    <t>grondin camard</t>
  </si>
  <si>
    <t>R0796</t>
  </si>
  <si>
    <t>grondin d amerique</t>
  </si>
  <si>
    <t>R0797</t>
  </si>
  <si>
    <t>grondin du cap</t>
  </si>
  <si>
    <t>R0798</t>
  </si>
  <si>
    <t>grondin gris</t>
  </si>
  <si>
    <t>R0799</t>
  </si>
  <si>
    <t>grondin lyre</t>
  </si>
  <si>
    <t>R0800</t>
  </si>
  <si>
    <t>grondin morrude</t>
  </si>
  <si>
    <t>R0801</t>
  </si>
  <si>
    <t>grondin perlon</t>
  </si>
  <si>
    <t>R0802</t>
  </si>
  <si>
    <t>grondin rouge</t>
  </si>
  <si>
    <t>R0803</t>
  </si>
  <si>
    <t>gros yeux</t>
  </si>
  <si>
    <t>R0804</t>
  </si>
  <si>
    <t>guinee machete</t>
  </si>
  <si>
    <t>R0805</t>
  </si>
  <si>
    <t>guite de patagonie</t>
  </si>
  <si>
    <t>R0806</t>
  </si>
  <si>
    <t>haddock</t>
  </si>
  <si>
    <t>R0807</t>
  </si>
  <si>
    <t>hake</t>
  </si>
  <si>
    <t>R0808</t>
  </si>
  <si>
    <t>halibut</t>
  </si>
  <si>
    <t>R0809</t>
  </si>
  <si>
    <t>hareng</t>
  </si>
  <si>
    <t>R0810</t>
  </si>
  <si>
    <t>hareng commun</t>
  </si>
  <si>
    <t>R0811</t>
  </si>
  <si>
    <t>hareng du pacifique</t>
  </si>
  <si>
    <t>R0812</t>
  </si>
  <si>
    <t>hemirhombe du senegal</t>
  </si>
  <si>
    <t>R0813</t>
  </si>
  <si>
    <t>hoki d argentine</t>
  </si>
  <si>
    <t>R0814</t>
  </si>
  <si>
    <t>hoki de nouvelle zelande</t>
  </si>
  <si>
    <t>R0815</t>
  </si>
  <si>
    <t>hoki de patagonie</t>
  </si>
  <si>
    <t>R0816</t>
  </si>
  <si>
    <t>hoplostete rouge</t>
  </si>
  <si>
    <t>R0817</t>
  </si>
  <si>
    <t>huile de poisson</t>
  </si>
  <si>
    <t>R0818</t>
  </si>
  <si>
    <t>julienne</t>
  </si>
  <si>
    <t>R0819</t>
  </si>
  <si>
    <t>julienne espagnole</t>
  </si>
  <si>
    <t>R0820</t>
  </si>
  <si>
    <t>juliennette de patagonie</t>
  </si>
  <si>
    <t>R0821</t>
  </si>
  <si>
    <t>labre capitaine</t>
  </si>
  <si>
    <t>R0822</t>
  </si>
  <si>
    <t>labre coquette</t>
  </si>
  <si>
    <t>R0823</t>
  </si>
  <si>
    <t>lamproie arctique</t>
  </si>
  <si>
    <t>R0824</t>
  </si>
  <si>
    <t>lamproie de riviere</t>
  </si>
  <si>
    <t>R0825</t>
  </si>
  <si>
    <t>lamproie marine</t>
  </si>
  <si>
    <t>R0826</t>
  </si>
  <si>
    <t>lancon cicerele</t>
  </si>
  <si>
    <t>R0827</t>
  </si>
  <si>
    <t>lancon commun</t>
  </si>
  <si>
    <t>R0828</t>
  </si>
  <si>
    <t>lancon d amerique</t>
  </si>
  <si>
    <t>R0829</t>
  </si>
  <si>
    <t>lancon du pacifique</t>
  </si>
  <si>
    <t>R0830</t>
  </si>
  <si>
    <t>lancon equille</t>
  </si>
  <si>
    <t>R0831</t>
  </si>
  <si>
    <t>legine antarctique</t>
  </si>
  <si>
    <t>R0832</t>
  </si>
  <si>
    <t>legine australe</t>
  </si>
  <si>
    <t>R0833</t>
  </si>
  <si>
    <t>liche de l atlantique</t>
  </si>
  <si>
    <t>R0834</t>
  </si>
  <si>
    <t>liche lirio</t>
  </si>
  <si>
    <t>R0835</t>
  </si>
  <si>
    <t>lieu</t>
  </si>
  <si>
    <t>R0836</t>
  </si>
  <si>
    <t>lieu de l alaska</t>
  </si>
  <si>
    <t>R0837</t>
  </si>
  <si>
    <t>lieu jaune</t>
  </si>
  <si>
    <t>R0838</t>
  </si>
  <si>
    <t>lieu noir</t>
  </si>
  <si>
    <t>R0839</t>
  </si>
  <si>
    <t>limande a queue jaune</t>
  </si>
  <si>
    <t>R0840</t>
  </si>
  <si>
    <t>limande commune</t>
  </si>
  <si>
    <t>R0841</t>
  </si>
  <si>
    <t>limande du japon</t>
  </si>
  <si>
    <t>R0842</t>
  </si>
  <si>
    <t>limande du nord</t>
  </si>
  <si>
    <t>R0843</t>
  </si>
  <si>
    <t>limande jaune</t>
  </si>
  <si>
    <t>R0844</t>
  </si>
  <si>
    <t>limande plie rouge</t>
  </si>
  <si>
    <t>R0845</t>
  </si>
  <si>
    <t>limande sole</t>
  </si>
  <si>
    <t>R0846</t>
  </si>
  <si>
    <t>limande sole commune</t>
  </si>
  <si>
    <t>R0847</t>
  </si>
  <si>
    <t>limande sole de nouvelle zelande</t>
  </si>
  <si>
    <t>R0848</t>
  </si>
  <si>
    <t>limande sole du pacifique</t>
  </si>
  <si>
    <t>R0849</t>
  </si>
  <si>
    <t>lingue</t>
  </si>
  <si>
    <t>R0850</t>
  </si>
  <si>
    <t>lingue bleue</t>
  </si>
  <si>
    <t>R0851</t>
  </si>
  <si>
    <t>lingue espagnole</t>
  </si>
  <si>
    <t>R0852</t>
  </si>
  <si>
    <t>lingue franche</t>
  </si>
  <si>
    <t>R0853</t>
  </si>
  <si>
    <t>lippu tricroupia</t>
  </si>
  <si>
    <t>R0854</t>
  </si>
  <si>
    <t>loche de riviere</t>
  </si>
  <si>
    <t>R0855</t>
  </si>
  <si>
    <t>loche franche</t>
  </si>
  <si>
    <t>R0856</t>
  </si>
  <si>
    <t>lompe</t>
  </si>
  <si>
    <t>R0857</t>
  </si>
  <si>
    <t>loquette d amerique</t>
  </si>
  <si>
    <t>R0858</t>
  </si>
  <si>
    <t>loquette d europe</t>
  </si>
  <si>
    <t>R0859</t>
  </si>
  <si>
    <t>lote de riviere</t>
  </si>
  <si>
    <t>R0860</t>
  </si>
  <si>
    <t>lotte</t>
  </si>
  <si>
    <t>R0861</t>
  </si>
  <si>
    <t>lotte africaine</t>
  </si>
  <si>
    <t>R0862</t>
  </si>
  <si>
    <t>lotte de chine</t>
  </si>
  <si>
    <t>R0863</t>
  </si>
  <si>
    <t>lotte du cap</t>
  </si>
  <si>
    <t>R0864</t>
  </si>
  <si>
    <t>lotte pecheuse</t>
  </si>
  <si>
    <t>R0865</t>
  </si>
  <si>
    <t>loup</t>
  </si>
  <si>
    <t>R0866</t>
  </si>
  <si>
    <t>loup de l atlantique</t>
  </si>
  <si>
    <t>R0867</t>
  </si>
  <si>
    <t>loup de mer</t>
  </si>
  <si>
    <t>R0868</t>
  </si>
  <si>
    <t>loup denticule</t>
  </si>
  <si>
    <t>R0869</t>
  </si>
  <si>
    <t>loup tachete</t>
  </si>
  <si>
    <t>R0870</t>
  </si>
  <si>
    <t>machoiran blanc</t>
  </si>
  <si>
    <t>R0871</t>
  </si>
  <si>
    <t>machoiran jaune</t>
  </si>
  <si>
    <t>R0872</t>
  </si>
  <si>
    <t>machoiron banderille</t>
  </si>
  <si>
    <t>R0873</t>
  </si>
  <si>
    <t>machoiron bressou</t>
  </si>
  <si>
    <t>R0874</t>
  </si>
  <si>
    <t>machoiron coco</t>
  </si>
  <si>
    <t>R0875</t>
  </si>
  <si>
    <t>machoiron couma</t>
  </si>
  <si>
    <t>R0876</t>
  </si>
  <si>
    <t>machoiron crucifix</t>
  </si>
  <si>
    <t>R0877</t>
  </si>
  <si>
    <t>machoiron d amerique</t>
  </si>
  <si>
    <t>R0878</t>
  </si>
  <si>
    <t>machoiron de gambie</t>
  </si>
  <si>
    <t>R0879</t>
  </si>
  <si>
    <t>machoiron grave de l ocean indien</t>
  </si>
  <si>
    <t>R0880</t>
  </si>
  <si>
    <t>machoiron gronde</t>
  </si>
  <si>
    <t>R0881</t>
  </si>
  <si>
    <t>machoiron indien</t>
  </si>
  <si>
    <t>R0882</t>
  </si>
  <si>
    <t>machoiron jaune</t>
  </si>
  <si>
    <t>R0883</t>
  </si>
  <si>
    <t>machoiron mamango</t>
  </si>
  <si>
    <t>R0884</t>
  </si>
  <si>
    <t>machoiron passany</t>
  </si>
  <si>
    <t>R0885</t>
  </si>
  <si>
    <t>machoiron pemecou</t>
  </si>
  <si>
    <t>R0886</t>
  </si>
  <si>
    <t>machoiron petite gueule</t>
  </si>
  <si>
    <t>R0887</t>
  </si>
  <si>
    <t>machoiron tachete du pacifique n o</t>
  </si>
  <si>
    <t>R0888</t>
  </si>
  <si>
    <t>mackerel</t>
  </si>
  <si>
    <t>R0889</t>
  </si>
  <si>
    <t>mahi mahi</t>
  </si>
  <si>
    <t>R0890</t>
  </si>
  <si>
    <t>maigre</t>
  </si>
  <si>
    <t>R0891</t>
  </si>
  <si>
    <t>maigre argente</t>
  </si>
  <si>
    <t>R0892</t>
  </si>
  <si>
    <t>maigre commun</t>
  </si>
  <si>
    <t>R0893</t>
  </si>
  <si>
    <t>maigre du sud</t>
  </si>
  <si>
    <t>R0894</t>
  </si>
  <si>
    <t>makaire a longue pectorale</t>
  </si>
  <si>
    <t>R0895</t>
  </si>
  <si>
    <t>makaire blanc</t>
  </si>
  <si>
    <t>R0896</t>
  </si>
  <si>
    <t>makaire bleu</t>
  </si>
  <si>
    <t>R0897</t>
  </si>
  <si>
    <t>makaire de la mediterranee</t>
  </si>
  <si>
    <t>R0898</t>
  </si>
  <si>
    <t>makaire du japon</t>
  </si>
  <si>
    <t>R0899</t>
  </si>
  <si>
    <t>makaire noir</t>
  </si>
  <si>
    <t>R0900</t>
  </si>
  <si>
    <t>maquereau</t>
  </si>
  <si>
    <t>R0901</t>
  </si>
  <si>
    <t>maquereau blanc</t>
  </si>
  <si>
    <t>R0902</t>
  </si>
  <si>
    <t>maquereau commun</t>
  </si>
  <si>
    <t>R0903</t>
  </si>
  <si>
    <t>maquereau espagnol</t>
  </si>
  <si>
    <t>R0904</t>
  </si>
  <si>
    <t>maquereau indo pacifique</t>
  </si>
  <si>
    <t>R0905</t>
  </si>
  <si>
    <t>marbre commun</t>
  </si>
  <si>
    <t>R0906</t>
  </si>
  <si>
    <t>marbre d afrique</t>
  </si>
  <si>
    <t>R0907</t>
  </si>
  <si>
    <t>marignan coq</t>
  </si>
  <si>
    <t>R0908</t>
  </si>
  <si>
    <t>marignan mombin</t>
  </si>
  <si>
    <t>R0909</t>
  </si>
  <si>
    <t>marlin</t>
  </si>
  <si>
    <t>R0910</t>
  </si>
  <si>
    <t>marlin a rostre court</t>
  </si>
  <si>
    <t>R0911</t>
  </si>
  <si>
    <t>marlin epee</t>
  </si>
  <si>
    <t>R0912</t>
  </si>
  <si>
    <t>marlin raye</t>
  </si>
  <si>
    <t>R0913</t>
  </si>
  <si>
    <t>masca laboureur</t>
  </si>
  <si>
    <t>R0914</t>
  </si>
  <si>
    <t>matelote</t>
  </si>
  <si>
    <t>R0915</t>
  </si>
  <si>
    <t>matiote noir</t>
  </si>
  <si>
    <t>R0916</t>
  </si>
  <si>
    <t>menhaden d argentine</t>
  </si>
  <si>
    <t>R0917</t>
  </si>
  <si>
    <t>menhaden du bresil</t>
  </si>
  <si>
    <t>R0918</t>
  </si>
  <si>
    <t>menhaden du pacifique</t>
  </si>
  <si>
    <t>R0919</t>
  </si>
  <si>
    <t>menhaden ecailleux</t>
  </si>
  <si>
    <t>R0920</t>
  </si>
  <si>
    <t>menhaden tyran</t>
  </si>
  <si>
    <t>R0921</t>
  </si>
  <si>
    <t>merlan</t>
  </si>
  <si>
    <t>R0922</t>
  </si>
  <si>
    <t>merlan austral</t>
  </si>
  <si>
    <t>R0923</t>
  </si>
  <si>
    <t>merlan bleu</t>
  </si>
  <si>
    <t>R0924</t>
  </si>
  <si>
    <t>merlan bleu austral</t>
  </si>
  <si>
    <t>R0925</t>
  </si>
  <si>
    <t>merlan bleu du nord</t>
  </si>
  <si>
    <t>R0926</t>
  </si>
  <si>
    <t>merlu</t>
  </si>
  <si>
    <t>R0927</t>
  </si>
  <si>
    <t>merlu argente</t>
  </si>
  <si>
    <t>R0928</t>
  </si>
  <si>
    <t>merlu argentin</t>
  </si>
  <si>
    <t>R0929</t>
  </si>
  <si>
    <t>merlu austral</t>
  </si>
  <si>
    <t>R0930</t>
  </si>
  <si>
    <t>merlu blanc</t>
  </si>
  <si>
    <t>R0931</t>
  </si>
  <si>
    <t>merlu blanc du cap</t>
  </si>
  <si>
    <t>R0932</t>
  </si>
  <si>
    <t>merlu d afrique tropicale</t>
  </si>
  <si>
    <t>R0933</t>
  </si>
  <si>
    <t>merlu du chili</t>
  </si>
  <si>
    <t>R0934</t>
  </si>
  <si>
    <t>merlu du large</t>
  </si>
  <si>
    <t>R0935</t>
  </si>
  <si>
    <t>merlu du pacifique</t>
  </si>
  <si>
    <t>R0936</t>
  </si>
  <si>
    <t>merlu du perou</t>
  </si>
  <si>
    <t>R0937</t>
  </si>
  <si>
    <t>merlu du senegal</t>
  </si>
  <si>
    <t>R0938</t>
  </si>
  <si>
    <t>merluche bresilien</t>
  </si>
  <si>
    <t>R0939</t>
  </si>
  <si>
    <t>merou</t>
  </si>
  <si>
    <t>R0940</t>
  </si>
  <si>
    <t>merou a points bleus</t>
  </si>
  <si>
    <t>R0941</t>
  </si>
  <si>
    <t>merou a taches orange</t>
  </si>
  <si>
    <t>R0942</t>
  </si>
  <si>
    <t>merou aile zebree</t>
  </si>
  <si>
    <t>R0943</t>
  </si>
  <si>
    <t>merou badeche</t>
  </si>
  <si>
    <t>R0944</t>
  </si>
  <si>
    <t>merou blanc</t>
  </si>
  <si>
    <t>R0945</t>
  </si>
  <si>
    <t>merou comete</t>
  </si>
  <si>
    <t>R0946</t>
  </si>
  <si>
    <t>merou couronne</t>
  </si>
  <si>
    <t>R0947</t>
  </si>
  <si>
    <t>merou de goree</t>
  </si>
  <si>
    <t>R0948</t>
  </si>
  <si>
    <t>merou echarpe</t>
  </si>
  <si>
    <t>R0949</t>
  </si>
  <si>
    <t>merou epineux</t>
  </si>
  <si>
    <t>R0950</t>
  </si>
  <si>
    <t>merou faraud</t>
  </si>
  <si>
    <t>R0951</t>
  </si>
  <si>
    <t>merou geant</t>
  </si>
  <si>
    <t>R0952</t>
  </si>
  <si>
    <t>merou grandes ecailles</t>
  </si>
  <si>
    <t>R0953</t>
  </si>
  <si>
    <t>merou gris</t>
  </si>
  <si>
    <t>R0954</t>
  </si>
  <si>
    <t>merou hamour</t>
  </si>
  <si>
    <t>R0955</t>
  </si>
  <si>
    <t>merou lanceole</t>
  </si>
  <si>
    <t>R0956</t>
  </si>
  <si>
    <t>merou longues dents</t>
  </si>
  <si>
    <t>R0957</t>
  </si>
  <si>
    <t>merou longues epines</t>
  </si>
  <si>
    <t>R0958</t>
  </si>
  <si>
    <t>merou loutre</t>
  </si>
  <si>
    <t>R0959</t>
  </si>
  <si>
    <t>merou malabar</t>
  </si>
  <si>
    <t>R0960</t>
  </si>
  <si>
    <t>merou mouchete</t>
  </si>
  <si>
    <t>R0961</t>
  </si>
  <si>
    <t>merou noir</t>
  </si>
  <si>
    <t>R0962</t>
  </si>
  <si>
    <t>merou ondule</t>
  </si>
  <si>
    <t>R0963</t>
  </si>
  <si>
    <t>merou oriflamme</t>
  </si>
  <si>
    <t>R0964</t>
  </si>
  <si>
    <t>merou oualioula</t>
  </si>
  <si>
    <t>R0965</t>
  </si>
  <si>
    <t>merou pintade</t>
  </si>
  <si>
    <t>R0966</t>
  </si>
  <si>
    <t>merou pointille</t>
  </si>
  <si>
    <t>R0967</t>
  </si>
  <si>
    <t>merou polonais</t>
  </si>
  <si>
    <t>R0968</t>
  </si>
  <si>
    <t>merou raye</t>
  </si>
  <si>
    <t>R0969</t>
  </si>
  <si>
    <t>merou rouge</t>
  </si>
  <si>
    <t>R0970</t>
  </si>
  <si>
    <t>merou selle</t>
  </si>
  <si>
    <t>R0971</t>
  </si>
  <si>
    <t>merou tachete</t>
  </si>
  <si>
    <t>R0972</t>
  </si>
  <si>
    <t>merou varsovie</t>
  </si>
  <si>
    <t>R0973</t>
  </si>
  <si>
    <t>monkfish</t>
  </si>
  <si>
    <t>R0974</t>
  </si>
  <si>
    <t>moride rouge</t>
  </si>
  <si>
    <t>R0975</t>
  </si>
  <si>
    <t>moride tetard</t>
  </si>
  <si>
    <t>R0976</t>
  </si>
  <si>
    <t>morue</t>
  </si>
  <si>
    <t>R0977</t>
  </si>
  <si>
    <t>morue boreale</t>
  </si>
  <si>
    <t>R0978</t>
  </si>
  <si>
    <t>morue du groenland</t>
  </si>
  <si>
    <t>R0979</t>
  </si>
  <si>
    <t>mostelle de fond</t>
  </si>
  <si>
    <t>R0980</t>
  </si>
  <si>
    <t>mostelle de roche</t>
  </si>
  <si>
    <t>R0981</t>
  </si>
  <si>
    <t>mourine javanaise</t>
  </si>
  <si>
    <t>R0982</t>
  </si>
  <si>
    <t>mulet</t>
  </si>
  <si>
    <t>R0983</t>
  </si>
  <si>
    <t>mulet blanc</t>
  </si>
  <si>
    <t>R0984</t>
  </si>
  <si>
    <t>mulet cabot</t>
  </si>
  <si>
    <t>R0985</t>
  </si>
  <si>
    <t>mulet d afrique</t>
  </si>
  <si>
    <t>R0986</t>
  </si>
  <si>
    <t>mulet dore</t>
  </si>
  <si>
    <t>R0987</t>
  </si>
  <si>
    <t>mulet gris</t>
  </si>
  <si>
    <t>R0988</t>
  </si>
  <si>
    <t>mulet labeon</t>
  </si>
  <si>
    <t>R0989</t>
  </si>
  <si>
    <t>mulet lebranche</t>
  </si>
  <si>
    <t>R0990</t>
  </si>
  <si>
    <t>mulet lippu</t>
  </si>
  <si>
    <t>R0991</t>
  </si>
  <si>
    <t>mulet lobo</t>
  </si>
  <si>
    <t>R0992</t>
  </si>
  <si>
    <t>mulet parassi</t>
  </si>
  <si>
    <t>R0993</t>
  </si>
  <si>
    <t>mulet porc</t>
  </si>
  <si>
    <t>R0994</t>
  </si>
  <si>
    <t>mulet sauteur</t>
  </si>
  <si>
    <t>R0995</t>
  </si>
  <si>
    <t>musso pacifique</t>
  </si>
  <si>
    <t>R0996</t>
  </si>
  <si>
    <t>nam pla</t>
  </si>
  <si>
    <t>R0997</t>
  </si>
  <si>
    <t>notothenia gris</t>
  </si>
  <si>
    <t>R0998</t>
  </si>
  <si>
    <t>notothenia magellanique</t>
  </si>
  <si>
    <t>R0999</t>
  </si>
  <si>
    <t>notothenia marbre</t>
  </si>
  <si>
    <t>R1000</t>
  </si>
  <si>
    <t>notothenia noir</t>
  </si>
  <si>
    <t>R1001</t>
  </si>
  <si>
    <t>notothenia queue longue</t>
  </si>
  <si>
    <t>R1002</t>
  </si>
  <si>
    <t>nuoc mam</t>
  </si>
  <si>
    <t>R1003</t>
  </si>
  <si>
    <t>œufs de lump</t>
  </si>
  <si>
    <t>oeufs de lump</t>
  </si>
  <si>
    <t>R1004</t>
  </si>
  <si>
    <t>œufs de poisson</t>
  </si>
  <si>
    <t>oeufs de poisson</t>
  </si>
  <si>
    <t>R1005</t>
  </si>
  <si>
    <t>œufs de saumon</t>
  </si>
  <si>
    <t>oeufs de saumon</t>
  </si>
  <si>
    <t>R1006</t>
  </si>
  <si>
    <t>œufs de truite</t>
  </si>
  <si>
    <t>oeufs de truite</t>
  </si>
  <si>
    <t>R1007</t>
  </si>
  <si>
    <t>omble chevalier</t>
  </si>
  <si>
    <t>R1008</t>
  </si>
  <si>
    <t>omble d amerique</t>
  </si>
  <si>
    <t>R1009</t>
  </si>
  <si>
    <t>ombrine</t>
  </si>
  <si>
    <t>R1010</t>
  </si>
  <si>
    <t>ombrine a nageoire jaune</t>
  </si>
  <si>
    <t>R1011</t>
  </si>
  <si>
    <t>ombrine argentine</t>
  </si>
  <si>
    <t>R1012</t>
  </si>
  <si>
    <t>ombrine bronze</t>
  </si>
  <si>
    <t>R1013</t>
  </si>
  <si>
    <t>ombrine cotiere</t>
  </si>
  <si>
    <t>R1014</t>
  </si>
  <si>
    <t>ombrine fusca</t>
  </si>
  <si>
    <t>R1015</t>
  </si>
  <si>
    <t>ombrine ocellee</t>
  </si>
  <si>
    <t>R1016</t>
  </si>
  <si>
    <t>orphie commune</t>
  </si>
  <si>
    <t>R1017</t>
  </si>
  <si>
    <t>otolithe du senegal</t>
  </si>
  <si>
    <t>R1018</t>
  </si>
  <si>
    <t>pageot a tache rouge</t>
  </si>
  <si>
    <t>R1019</t>
  </si>
  <si>
    <t>pageot acarne</t>
  </si>
  <si>
    <t>R1020</t>
  </si>
  <si>
    <t>pageot d arabie</t>
  </si>
  <si>
    <t>R1021</t>
  </si>
  <si>
    <t>pageot de la mer d oman</t>
  </si>
  <si>
    <t>R1022</t>
  </si>
  <si>
    <t>pageot mommun</t>
  </si>
  <si>
    <t>R1023</t>
  </si>
  <si>
    <t>pageot rose</t>
  </si>
  <si>
    <t>R1024</t>
  </si>
  <si>
    <t>pagre a points bleu</t>
  </si>
  <si>
    <t>R1025</t>
  </si>
  <si>
    <t>pagre a points bleus</t>
  </si>
  <si>
    <t>R1026</t>
  </si>
  <si>
    <t>pagre commun</t>
  </si>
  <si>
    <t>R1027</t>
  </si>
  <si>
    <t>pagre des tropiques</t>
  </si>
  <si>
    <t>R1028</t>
  </si>
  <si>
    <t>pagre du japon</t>
  </si>
  <si>
    <t>R1029</t>
  </si>
  <si>
    <t>pagre raye</t>
  </si>
  <si>
    <t>R1030</t>
  </si>
  <si>
    <t>pastenague americaine</t>
  </si>
  <si>
    <t>R1031</t>
  </si>
  <si>
    <t>pastenague becune</t>
  </si>
  <si>
    <t>R1032</t>
  </si>
  <si>
    <t>pastenague commune</t>
  </si>
  <si>
    <t>R1033</t>
  </si>
  <si>
    <t>pastenague de tortonese</t>
  </si>
  <si>
    <t>R1034</t>
  </si>
  <si>
    <t>pastenague epieneuse</t>
  </si>
  <si>
    <t>R1035</t>
  </si>
  <si>
    <t>pastenague long nez</t>
  </si>
  <si>
    <t>R1036</t>
  </si>
  <si>
    <t>peau bleue</t>
  </si>
  <si>
    <t>R1037</t>
  </si>
  <si>
    <t>peche cavale</t>
  </si>
  <si>
    <t>R1038</t>
  </si>
  <si>
    <t>peliau chanos</t>
  </si>
  <si>
    <t>R1039</t>
  </si>
  <si>
    <t>perche</t>
  </si>
  <si>
    <t>R1040</t>
  </si>
  <si>
    <t>perche d amerique</t>
  </si>
  <si>
    <t>R1041</t>
  </si>
  <si>
    <t>perche de mer argentee</t>
  </si>
  <si>
    <t>R1042</t>
  </si>
  <si>
    <t>perche du nil</t>
  </si>
  <si>
    <t>R1043</t>
  </si>
  <si>
    <t>perche europeenne</t>
  </si>
  <si>
    <t>R1044</t>
  </si>
  <si>
    <t>perroquet du golfe</t>
  </si>
  <si>
    <t>R1045</t>
  </si>
  <si>
    <t>petit picot</t>
  </si>
  <si>
    <t>R1046</t>
  </si>
  <si>
    <t>petit sebaste</t>
  </si>
  <si>
    <t>R1047</t>
  </si>
  <si>
    <t>petit sigan</t>
  </si>
  <si>
    <t>R1048</t>
  </si>
  <si>
    <t>petit tacaud</t>
  </si>
  <si>
    <t>R1049</t>
  </si>
  <si>
    <t>petite argentine</t>
  </si>
  <si>
    <t>R1050</t>
  </si>
  <si>
    <t>petite gueule</t>
  </si>
  <si>
    <t>R1051</t>
  </si>
  <si>
    <t>petite roussette</t>
  </si>
  <si>
    <t>R1052</t>
  </si>
  <si>
    <t>petite vive</t>
  </si>
  <si>
    <t>R1053</t>
  </si>
  <si>
    <t>phycis blanc</t>
  </si>
  <si>
    <t>R1054</t>
  </si>
  <si>
    <t>phycis bresilien</t>
  </si>
  <si>
    <t>R1055</t>
  </si>
  <si>
    <t>phycis de fond</t>
  </si>
  <si>
    <t>R1056</t>
  </si>
  <si>
    <t>phycis de roche</t>
  </si>
  <si>
    <t>R1057</t>
  </si>
  <si>
    <t>phycis ecureuil</t>
  </si>
  <si>
    <t>R1058</t>
  </si>
  <si>
    <t>picarel de l atlantique du sud est</t>
  </si>
  <si>
    <t>R1059</t>
  </si>
  <si>
    <t>picot taches blanches</t>
  </si>
  <si>
    <t>R1060</t>
  </si>
  <si>
    <t>pinge namorade</t>
  </si>
  <si>
    <t>R1061</t>
  </si>
  <si>
    <t>platete bresilien</t>
  </si>
  <si>
    <t>R1062</t>
  </si>
  <si>
    <t>platycephale indien</t>
  </si>
  <si>
    <t>R1063</t>
  </si>
  <si>
    <t>plie</t>
  </si>
  <si>
    <t>R1064</t>
  </si>
  <si>
    <t>plie a grande bouche</t>
  </si>
  <si>
    <t>R1065</t>
  </si>
  <si>
    <t>plie canadienne</t>
  </si>
  <si>
    <t>R1066</t>
  </si>
  <si>
    <t>plie commune</t>
  </si>
  <si>
    <t>R1067</t>
  </si>
  <si>
    <t>plie cynoglosse</t>
  </si>
  <si>
    <t>R1068</t>
  </si>
  <si>
    <t>plie de l alaska</t>
  </si>
  <si>
    <t>R1069</t>
  </si>
  <si>
    <t>plie de nouvelle zelande</t>
  </si>
  <si>
    <t>R1070</t>
  </si>
  <si>
    <t>plie de nouvelle zelange</t>
  </si>
  <si>
    <t>R1071</t>
  </si>
  <si>
    <t>plie du pacifique nord</t>
  </si>
  <si>
    <t>R1072</t>
  </si>
  <si>
    <t>plie grise</t>
  </si>
  <si>
    <t>R1073</t>
  </si>
  <si>
    <t>pocheteau de norvege</t>
  </si>
  <si>
    <t>R1074</t>
  </si>
  <si>
    <t>pocheteau gris</t>
  </si>
  <si>
    <t>R1075</t>
  </si>
  <si>
    <t>pocheteau intermediaire</t>
  </si>
  <si>
    <t>R1076</t>
  </si>
  <si>
    <t>pocheteau noir</t>
  </si>
  <si>
    <t>R1077</t>
  </si>
  <si>
    <t>poisson</t>
  </si>
  <si>
    <t>R1078</t>
  </si>
  <si>
    <t>poisson chat</t>
  </si>
  <si>
    <t>R1079</t>
  </si>
  <si>
    <t>poisson chat hybride</t>
  </si>
  <si>
    <t>R1080</t>
  </si>
  <si>
    <t>poisson des glaces</t>
  </si>
  <si>
    <t>R1081</t>
  </si>
  <si>
    <t>poisson nez bleu</t>
  </si>
  <si>
    <t>R1082</t>
  </si>
  <si>
    <t>poisson perroquet</t>
  </si>
  <si>
    <t>R1083</t>
  </si>
  <si>
    <t>poisson rouge</t>
  </si>
  <si>
    <t>R1084</t>
  </si>
  <si>
    <t>poisson rubis</t>
  </si>
  <si>
    <t>R1085</t>
  </si>
  <si>
    <t>poisson sabre commun</t>
  </si>
  <si>
    <t>R1086</t>
  </si>
  <si>
    <t>poisson saptule</t>
  </si>
  <si>
    <t>R1087</t>
  </si>
  <si>
    <t>poisson volant</t>
  </si>
  <si>
    <t>R1088</t>
  </si>
  <si>
    <t>poissons</t>
  </si>
  <si>
    <t>R1089</t>
  </si>
  <si>
    <t>pompaneau lune</t>
  </si>
  <si>
    <t>R1090</t>
  </si>
  <si>
    <t>pompaneau sole</t>
  </si>
  <si>
    <t>R1091</t>
  </si>
  <si>
    <t>poulamon atlantique</t>
  </si>
  <si>
    <t>R1092</t>
  </si>
  <si>
    <t>poutargue</t>
  </si>
  <si>
    <t>R1093</t>
  </si>
  <si>
    <t>protéine de poisson</t>
  </si>
  <si>
    <t>proteine de poisson</t>
  </si>
  <si>
    <t>R1094</t>
  </si>
  <si>
    <t>quenelle de poisson</t>
  </si>
  <si>
    <t>R1095</t>
  </si>
  <si>
    <t>raie</t>
  </si>
  <si>
    <t>R1096</t>
  </si>
  <si>
    <t>raie a queue epineuse</t>
  </si>
  <si>
    <t>R1097</t>
  </si>
  <si>
    <t>raie americaine</t>
  </si>
  <si>
    <t>R1098</t>
  </si>
  <si>
    <t>raie arctique</t>
  </si>
  <si>
    <t>R1099</t>
  </si>
  <si>
    <t>raie bathyale</t>
  </si>
  <si>
    <t>R1100</t>
  </si>
  <si>
    <t>raie blanche</t>
  </si>
  <si>
    <t>R1101</t>
  </si>
  <si>
    <t>raie bouclee</t>
  </si>
  <si>
    <t>R1102</t>
  </si>
  <si>
    <t>raie brunette</t>
  </si>
  <si>
    <t>R1103</t>
  </si>
  <si>
    <t>raie chardon</t>
  </si>
  <si>
    <t>R1104</t>
  </si>
  <si>
    <t>raie circulaire</t>
  </si>
  <si>
    <t>R1105</t>
  </si>
  <si>
    <t>raie d eaton</t>
  </si>
  <si>
    <t>R1106</t>
  </si>
  <si>
    <t>raie de kukujev</t>
  </si>
  <si>
    <t>R1107</t>
  </si>
  <si>
    <t>raie de nouvelle zelande</t>
  </si>
  <si>
    <t>R1108</t>
  </si>
  <si>
    <t>raie douce</t>
  </si>
  <si>
    <t>R1109</t>
  </si>
  <si>
    <t>raie etoilee</t>
  </si>
  <si>
    <t>R1110</t>
  </si>
  <si>
    <t>raie fleurie</t>
  </si>
  <si>
    <t>R1111</t>
  </si>
  <si>
    <t>raie herisson</t>
  </si>
  <si>
    <t>R1112</t>
  </si>
  <si>
    <t>raie lisse</t>
  </si>
  <si>
    <t>R1113</t>
  </si>
  <si>
    <t>raie melee</t>
  </si>
  <si>
    <t>R1114</t>
  </si>
  <si>
    <t>raie miroir</t>
  </si>
  <si>
    <t>R1115</t>
  </si>
  <si>
    <t>raie papillon</t>
  </si>
  <si>
    <t>R1116</t>
  </si>
  <si>
    <t>raie papillon glabre</t>
  </si>
  <si>
    <t>R1117</t>
  </si>
  <si>
    <t>raie pastenague</t>
  </si>
  <si>
    <t>R1118</t>
  </si>
  <si>
    <t>raie profonde</t>
  </si>
  <si>
    <t>R1119</t>
  </si>
  <si>
    <t>raie radiee</t>
  </si>
  <si>
    <t>R1120</t>
  </si>
  <si>
    <t>raie rape</t>
  </si>
  <si>
    <t>R1121</t>
  </si>
  <si>
    <t>raie ronde</t>
  </si>
  <si>
    <t>R1122</t>
  </si>
  <si>
    <t>raie rugueuse</t>
  </si>
  <si>
    <t>R1123</t>
  </si>
  <si>
    <t>raie souple</t>
  </si>
  <si>
    <t>R1124</t>
  </si>
  <si>
    <t>raie tachetee</t>
  </si>
  <si>
    <t>R1125</t>
  </si>
  <si>
    <t>raie voile</t>
  </si>
  <si>
    <t>R1126</t>
  </si>
  <si>
    <t>rascasse a nageoires tachetees</t>
  </si>
  <si>
    <t>R1127</t>
  </si>
  <si>
    <t>rascasse australe</t>
  </si>
  <si>
    <t>R1128</t>
  </si>
  <si>
    <t>rascasse blanche</t>
  </si>
  <si>
    <t>R1129</t>
  </si>
  <si>
    <t>rascasse bresilienne</t>
  </si>
  <si>
    <t>R1130</t>
  </si>
  <si>
    <t>rascasse brune</t>
  </si>
  <si>
    <t>R1131</t>
  </si>
  <si>
    <t>rascasse de profondeur</t>
  </si>
  <si>
    <t>R1132</t>
  </si>
  <si>
    <t>rascasse du large</t>
  </si>
  <si>
    <t>R1133</t>
  </si>
  <si>
    <t>rascasse longue</t>
  </si>
  <si>
    <t>R1134</t>
  </si>
  <si>
    <t>rascasse rouge</t>
  </si>
  <si>
    <t>R1135</t>
  </si>
  <si>
    <t>requin</t>
  </si>
  <si>
    <t>R1136</t>
  </si>
  <si>
    <t>requin a museau pointu requin</t>
  </si>
  <si>
    <t>R1137</t>
  </si>
  <si>
    <t>requin bleu</t>
  </si>
  <si>
    <t>R1138</t>
  </si>
  <si>
    <t>requin borde</t>
  </si>
  <si>
    <t>R1139</t>
  </si>
  <si>
    <t>requin commun</t>
  </si>
  <si>
    <t>R1140</t>
  </si>
  <si>
    <t>requin ha</t>
  </si>
  <si>
    <t>R1141</t>
  </si>
  <si>
    <t>requin marteau</t>
  </si>
  <si>
    <t>R1142</t>
  </si>
  <si>
    <t>requin marteau a petits yeux</t>
  </si>
  <si>
    <t>R1143</t>
  </si>
  <si>
    <t>requin marteau commun</t>
  </si>
  <si>
    <t>R1144</t>
  </si>
  <si>
    <t>requin marteau halicorne</t>
  </si>
  <si>
    <t>R1145</t>
  </si>
  <si>
    <t>requin marteau tiburo</t>
  </si>
  <si>
    <t>R1146</t>
  </si>
  <si>
    <t>requin nez noir</t>
  </si>
  <si>
    <t>R1147</t>
  </si>
  <si>
    <t>requin peau bleue</t>
  </si>
  <si>
    <t>R1148</t>
  </si>
  <si>
    <t>requin pelerin</t>
  </si>
  <si>
    <t>R1149</t>
  </si>
  <si>
    <t>requin taureau</t>
  </si>
  <si>
    <t>R1150</t>
  </si>
  <si>
    <t>requin tiqueue</t>
  </si>
  <si>
    <t>R1151</t>
  </si>
  <si>
    <t>rillettes de poisson</t>
  </si>
  <si>
    <t>R1152</t>
  </si>
  <si>
    <t>rondeau mouton</t>
  </si>
  <si>
    <t>R1153</t>
  </si>
  <si>
    <t>rouffe antarctique</t>
  </si>
  <si>
    <t>R1154</t>
  </si>
  <si>
    <t>rouffe imperial</t>
  </si>
  <si>
    <t>R1155</t>
  </si>
  <si>
    <t>rouffe raye</t>
  </si>
  <si>
    <t>R1156</t>
  </si>
  <si>
    <t>rouget</t>
  </si>
  <si>
    <t>R1157</t>
  </si>
  <si>
    <t>rouget barbet</t>
  </si>
  <si>
    <t>R1158</t>
  </si>
  <si>
    <t>rouget barbet de roche</t>
  </si>
  <si>
    <t>R1159</t>
  </si>
  <si>
    <t>rouget barbet de thailande</t>
  </si>
  <si>
    <t>R1160</t>
  </si>
  <si>
    <t>rouget barbet de vase</t>
  </si>
  <si>
    <t>R1161</t>
  </si>
  <si>
    <t>rouget barbet dore</t>
  </si>
  <si>
    <t>R1162</t>
  </si>
  <si>
    <t>rouget barbet du senegal</t>
  </si>
  <si>
    <t>R1163</t>
  </si>
  <si>
    <t>rouget barbet du vietnam</t>
  </si>
  <si>
    <t>R1164</t>
  </si>
  <si>
    <t>rouget barbet indien</t>
  </si>
  <si>
    <t>R1165</t>
  </si>
  <si>
    <t>rouget barbet tachete</t>
  </si>
  <si>
    <t>R1166</t>
  </si>
  <si>
    <t>rouget souris</t>
  </si>
  <si>
    <t>R1167</t>
  </si>
  <si>
    <t>rouget souris bande or</t>
  </si>
  <si>
    <t>R1168</t>
  </si>
  <si>
    <t>roussette</t>
  </si>
  <si>
    <t>R1169</t>
  </si>
  <si>
    <t>sabre</t>
  </si>
  <si>
    <t>R1170</t>
  </si>
  <si>
    <t>sabre argente</t>
  </si>
  <si>
    <t>R1171</t>
  </si>
  <si>
    <t>sabre noir</t>
  </si>
  <si>
    <t>R1172</t>
  </si>
  <si>
    <t>saint paul</t>
  </si>
  <si>
    <t>R1173</t>
  </si>
  <si>
    <t>saint pierre</t>
  </si>
  <si>
    <t>R1174</t>
  </si>
  <si>
    <t>saint pierre du cap</t>
  </si>
  <si>
    <t>R1175</t>
  </si>
  <si>
    <t>salmon</t>
  </si>
  <si>
    <t>R1176</t>
  </si>
  <si>
    <t>sandre</t>
  </si>
  <si>
    <t>R1177</t>
  </si>
  <si>
    <t>sanglier de mer</t>
  </si>
  <si>
    <t>R1178</t>
  </si>
  <si>
    <t>sar a grosses levres</t>
  </si>
  <si>
    <t>R1179</t>
  </si>
  <si>
    <t>sar a museau pointu</t>
  </si>
  <si>
    <t>R1180</t>
  </si>
  <si>
    <t>sar a tete noire</t>
  </si>
  <si>
    <t>R1181</t>
  </si>
  <si>
    <t>sar a tete noire du cap vert</t>
  </si>
  <si>
    <t>R1182</t>
  </si>
  <si>
    <t>sar commun</t>
  </si>
  <si>
    <t>R1183</t>
  </si>
  <si>
    <t>sardine</t>
  </si>
  <si>
    <t>R1184</t>
  </si>
  <si>
    <t>sardine commune</t>
  </si>
  <si>
    <t>R1185</t>
  </si>
  <si>
    <t>sardinelle indonesienne</t>
  </si>
  <si>
    <t>R1186</t>
  </si>
  <si>
    <t>sardines</t>
  </si>
  <si>
    <t>R1187</t>
  </si>
  <si>
    <t>sardinops d afrique du sud</t>
  </si>
  <si>
    <t>R1188</t>
  </si>
  <si>
    <t>sardinops de californie</t>
  </si>
  <si>
    <t>R1189</t>
  </si>
  <si>
    <t>sardinops du chili</t>
  </si>
  <si>
    <t>R1190</t>
  </si>
  <si>
    <t>sardinops du japon</t>
  </si>
  <si>
    <t>R1191</t>
  </si>
  <si>
    <t>sargue de l atlangique s e</t>
  </si>
  <si>
    <t>R1192</t>
  </si>
  <si>
    <t>sargue doree</t>
  </si>
  <si>
    <t>R1193</t>
  </si>
  <si>
    <t>sauce de poisson</t>
  </si>
  <si>
    <t>R1194</t>
  </si>
  <si>
    <t>sauce poisson</t>
  </si>
  <si>
    <t>R1195</t>
  </si>
  <si>
    <t>saumon</t>
  </si>
  <si>
    <t>R1196</t>
  </si>
  <si>
    <t>saumon argente du pacifique</t>
  </si>
  <si>
    <t>R1197</t>
  </si>
  <si>
    <t>saumon atlantique</t>
  </si>
  <si>
    <t>R1198</t>
  </si>
  <si>
    <t>saumon de fontaine</t>
  </si>
  <si>
    <t>R1199</t>
  </si>
  <si>
    <t>saumon japonais du pacifique</t>
  </si>
  <si>
    <t>R1200</t>
  </si>
  <si>
    <t>saumon keta du pacifique</t>
  </si>
  <si>
    <t>R1201</t>
  </si>
  <si>
    <t>saumon rose du pacifique</t>
  </si>
  <si>
    <t>R1202</t>
  </si>
  <si>
    <t>saumon rouge du pacifique</t>
  </si>
  <si>
    <t>R1203</t>
  </si>
  <si>
    <t>saumon royal du pacifique</t>
  </si>
  <si>
    <t>R1204</t>
  </si>
  <si>
    <t>saumonette</t>
  </si>
  <si>
    <t>R1205</t>
  </si>
  <si>
    <t>sauteur talang</t>
  </si>
  <si>
    <t>R1206</t>
  </si>
  <si>
    <t>sea bass</t>
  </si>
  <si>
    <t>R1207</t>
  </si>
  <si>
    <t>sea bream</t>
  </si>
  <si>
    <t>R1208</t>
  </si>
  <si>
    <t>seabass</t>
  </si>
  <si>
    <t>R1209</t>
  </si>
  <si>
    <t>seabream</t>
  </si>
  <si>
    <t>R1210</t>
  </si>
  <si>
    <t>sebaste</t>
  </si>
  <si>
    <t>R1211</t>
  </si>
  <si>
    <t>sebaste a queue jaune</t>
  </si>
  <si>
    <t>R1212</t>
  </si>
  <si>
    <t>sebaste chevre</t>
  </si>
  <si>
    <t>R1213</t>
  </si>
  <si>
    <t>sebaste du canada</t>
  </si>
  <si>
    <t>R1214</t>
  </si>
  <si>
    <t>sebaste du cap</t>
  </si>
  <si>
    <t>R1215</t>
  </si>
  <si>
    <t>sebaste du pacifique</t>
  </si>
  <si>
    <t>R1216</t>
  </si>
  <si>
    <t>sebaste rocote</t>
  </si>
  <si>
    <t>R1217</t>
  </si>
  <si>
    <t>sebaste rose</t>
  </si>
  <si>
    <t>R1218</t>
  </si>
  <si>
    <t>selar coulisou</t>
  </si>
  <si>
    <t>R1219</t>
  </si>
  <si>
    <t>seriole chicard</t>
  </si>
  <si>
    <t>R1220</t>
  </si>
  <si>
    <t>seriole couronnee</t>
  </si>
  <si>
    <t>R1221</t>
  </si>
  <si>
    <t>seriole de guinee</t>
  </si>
  <si>
    <t>R1222</t>
  </si>
  <si>
    <t>seriole du japon</t>
  </si>
  <si>
    <t>R1223</t>
  </si>
  <si>
    <t>seriole japonaise</t>
  </si>
  <si>
    <t>R1224</t>
  </si>
  <si>
    <t>seriole lalandi</t>
  </si>
  <si>
    <t>R1225</t>
  </si>
  <si>
    <t>seriole limon</t>
  </si>
  <si>
    <t>R1226</t>
  </si>
  <si>
    <t>seriolelle argentine</t>
  </si>
  <si>
    <t>R1227</t>
  </si>
  <si>
    <t>seriolelle hyperoglyphe</t>
  </si>
  <si>
    <t>R1228</t>
  </si>
  <si>
    <t>serran cabrillon</t>
  </si>
  <si>
    <t>R1229</t>
  </si>
  <si>
    <t>serran chevre</t>
  </si>
  <si>
    <t>R1230</t>
  </si>
  <si>
    <t>serran ecriture</t>
  </si>
  <si>
    <t>R1231</t>
  </si>
  <si>
    <t>shadine ronde</t>
  </si>
  <si>
    <t>R1232</t>
  </si>
  <si>
    <t>sigan cordonnier</t>
  </si>
  <si>
    <t>R1233</t>
  </si>
  <si>
    <t>sigan pintade</t>
  </si>
  <si>
    <t>R1234</t>
  </si>
  <si>
    <t>siki</t>
  </si>
  <si>
    <t>R1235</t>
  </si>
  <si>
    <t>silure</t>
  </si>
  <si>
    <t>R1236</t>
  </si>
  <si>
    <t>silure glane</t>
  </si>
  <si>
    <t>R1237</t>
  </si>
  <si>
    <t>silure tigre</t>
  </si>
  <si>
    <t>R1238</t>
  </si>
  <si>
    <t>sole</t>
  </si>
  <si>
    <t>R1239</t>
  </si>
  <si>
    <t>sole australe occidentale</t>
  </si>
  <si>
    <t>R1240</t>
  </si>
  <si>
    <t>sole australe orientale</t>
  </si>
  <si>
    <t>R1241</t>
  </si>
  <si>
    <t>sole blonde</t>
  </si>
  <si>
    <t>R1242</t>
  </si>
  <si>
    <t>sole commune</t>
  </si>
  <si>
    <t>R1243</t>
  </si>
  <si>
    <t>sole d afrique du sud</t>
  </si>
  <si>
    <t>R1244</t>
  </si>
  <si>
    <t>sole d orient</t>
  </si>
  <si>
    <t>R1245</t>
  </si>
  <si>
    <t>sole de guinee</t>
  </si>
  <si>
    <t>R1246</t>
  </si>
  <si>
    <t>sole de roche</t>
  </si>
  <si>
    <t>R1247</t>
  </si>
  <si>
    <t>sole du senegal</t>
  </si>
  <si>
    <t>R1248</t>
  </si>
  <si>
    <t>sole elancee</t>
  </si>
  <si>
    <t>R1249</t>
  </si>
  <si>
    <t>sole langue</t>
  </si>
  <si>
    <t>R1250</t>
  </si>
  <si>
    <t>sole perdrix</t>
  </si>
  <si>
    <t>R1251</t>
  </si>
  <si>
    <t>sole pole</t>
  </si>
  <si>
    <t>R1252</t>
  </si>
  <si>
    <t>sole ruardon commune</t>
  </si>
  <si>
    <t>R1253</t>
  </si>
  <si>
    <t>sole ruardon d orient</t>
  </si>
  <si>
    <t>R1254</t>
  </si>
  <si>
    <t>sole ruardon du golfe</t>
  </si>
  <si>
    <t>R1255</t>
  </si>
  <si>
    <t>sole sombre</t>
  </si>
  <si>
    <t>R1256</t>
  </si>
  <si>
    <t>sole tropicale</t>
  </si>
  <si>
    <t>R1257</t>
  </si>
  <si>
    <t>sonneur commun</t>
  </si>
  <si>
    <t>R1258</t>
  </si>
  <si>
    <t>sonneur du chili</t>
  </si>
  <si>
    <t>R1259</t>
  </si>
  <si>
    <t>soupe de poisson</t>
  </si>
  <si>
    <t>R1260</t>
  </si>
  <si>
    <t>sparaillon africain</t>
  </si>
  <si>
    <t>R1261</t>
  </si>
  <si>
    <t>sparaillon commun</t>
  </si>
  <si>
    <t>R1262</t>
  </si>
  <si>
    <t>spare de l ocean indien</t>
  </si>
  <si>
    <t>R1263</t>
  </si>
  <si>
    <t>spare panga</t>
  </si>
  <si>
    <t>R1264</t>
  </si>
  <si>
    <t>spare royal</t>
  </si>
  <si>
    <t>R1265</t>
  </si>
  <si>
    <t>spatule d amerique</t>
  </si>
  <si>
    <t>R1266</t>
  </si>
  <si>
    <t>sprat</t>
  </si>
  <si>
    <t>R1267</t>
  </si>
  <si>
    <t>sprat des iles faulklands</t>
  </si>
  <si>
    <t>R1268</t>
  </si>
  <si>
    <t>squale chagrin commun</t>
  </si>
  <si>
    <t>R1269</t>
  </si>
  <si>
    <t>squale liche</t>
  </si>
  <si>
    <t>R1270</t>
  </si>
  <si>
    <t>stromatee a fossettes</t>
  </si>
  <si>
    <t>R1271</t>
  </si>
  <si>
    <t>R1272</t>
  </si>
  <si>
    <t>swordfish</t>
  </si>
  <si>
    <t>R1273</t>
  </si>
  <si>
    <t>tacaud</t>
  </si>
  <si>
    <t>R1274</t>
  </si>
  <si>
    <t>tacaud commun</t>
  </si>
  <si>
    <t>R1275</t>
  </si>
  <si>
    <t>tacaud norvegien</t>
  </si>
  <si>
    <t>R1276</t>
  </si>
  <si>
    <t>tambour bresilien</t>
  </si>
  <si>
    <t>R1277</t>
  </si>
  <si>
    <t>tambour croca</t>
  </si>
  <si>
    <t>R1278</t>
  </si>
  <si>
    <t>tambour raye</t>
  </si>
  <si>
    <t>R1279</t>
  </si>
  <si>
    <t>tambour rouge</t>
  </si>
  <si>
    <t>R1280</t>
  </si>
  <si>
    <t>tanche</t>
  </si>
  <si>
    <t>R1281</t>
  </si>
  <si>
    <t>tarama</t>
  </si>
  <si>
    <t>R1282</t>
  </si>
  <si>
    <t>taramasalata</t>
  </si>
  <si>
    <t>R1283</t>
  </si>
  <si>
    <t>tarpon argente</t>
  </si>
  <si>
    <t>R1284</t>
  </si>
  <si>
    <t>terrine de poisson</t>
  </si>
  <si>
    <t>R1285</t>
  </si>
  <si>
    <t>thazard barre</t>
  </si>
  <si>
    <t>R1286</t>
  </si>
  <si>
    <t>thazard batard</t>
  </si>
  <si>
    <t>R1287</t>
  </si>
  <si>
    <t>thazard blanc</t>
  </si>
  <si>
    <t>R1288</t>
  </si>
  <si>
    <t>thazard cirrus</t>
  </si>
  <si>
    <t>R1289</t>
  </si>
  <si>
    <t>thazard franc</t>
  </si>
  <si>
    <t>R1290</t>
  </si>
  <si>
    <t>thazard ponctue</t>
  </si>
  <si>
    <t>R1291</t>
  </si>
  <si>
    <t>thazard raye</t>
  </si>
  <si>
    <t>R1292</t>
  </si>
  <si>
    <t>thazard serra</t>
  </si>
  <si>
    <t>R1293</t>
  </si>
  <si>
    <t>thon a nageoires noires</t>
  </si>
  <si>
    <t>R1294</t>
  </si>
  <si>
    <t>thon albacore</t>
  </si>
  <si>
    <t>R1295</t>
  </si>
  <si>
    <t>thon blanc</t>
  </si>
  <si>
    <t>R1296</t>
  </si>
  <si>
    <t>thon germon</t>
  </si>
  <si>
    <t>R1297</t>
  </si>
  <si>
    <t>thon listao</t>
  </si>
  <si>
    <t>R1298</t>
  </si>
  <si>
    <t>thon mignon</t>
  </si>
  <si>
    <t>R1299</t>
  </si>
  <si>
    <t>thon obese</t>
  </si>
  <si>
    <t>R1300</t>
  </si>
  <si>
    <t>thon patudo</t>
  </si>
  <si>
    <t>R1301</t>
  </si>
  <si>
    <t>thon rouge</t>
  </si>
  <si>
    <t>R1302</t>
  </si>
  <si>
    <t>thon rouge du sud</t>
  </si>
  <si>
    <t>R1303</t>
  </si>
  <si>
    <t>thonine commune</t>
  </si>
  <si>
    <t>R1304</t>
  </si>
  <si>
    <t>thonine orientale</t>
  </si>
  <si>
    <t>R1305</t>
  </si>
  <si>
    <t>tilapia</t>
  </si>
  <si>
    <t>R1306</t>
  </si>
  <si>
    <t>tilapia bleu</t>
  </si>
  <si>
    <t>R1307</t>
  </si>
  <si>
    <t>tilapia du mozambique</t>
  </si>
  <si>
    <t>R1308</t>
  </si>
  <si>
    <t>tilapia du nil</t>
  </si>
  <si>
    <t>R1309</t>
  </si>
  <si>
    <t>tile chameau</t>
  </si>
  <si>
    <t>R1310</t>
  </si>
  <si>
    <t>tile zebre</t>
  </si>
  <si>
    <t>R1311</t>
  </si>
  <si>
    <t>torche tigre</t>
  </si>
  <si>
    <t>R1312</t>
  </si>
  <si>
    <t>torpille marbree</t>
  </si>
  <si>
    <t>R1313</t>
  </si>
  <si>
    <t>trout</t>
  </si>
  <si>
    <t>R1314</t>
  </si>
  <si>
    <t>truite</t>
  </si>
  <si>
    <t>R1315</t>
  </si>
  <si>
    <t>truite arc en ciel</t>
  </si>
  <si>
    <t>R1316</t>
  </si>
  <si>
    <t>tuna</t>
  </si>
  <si>
    <t>R1317</t>
  </si>
  <si>
    <t>turbot</t>
  </si>
  <si>
    <t>R1318</t>
  </si>
  <si>
    <t>turbot mouchete</t>
  </si>
  <si>
    <t>R1319</t>
  </si>
  <si>
    <t>turbot tropical</t>
  </si>
  <si>
    <t>R1320</t>
  </si>
  <si>
    <t>uranoscope de l atlantique</t>
  </si>
  <si>
    <t>R1321</t>
  </si>
  <si>
    <t>uranoscope de nouvelle zelande</t>
  </si>
  <si>
    <t>R1322</t>
  </si>
  <si>
    <t>varlet de l ocean indien</t>
  </si>
  <si>
    <t>R1323</t>
  </si>
  <si>
    <t>veau de mer</t>
  </si>
  <si>
    <t>R1324</t>
  </si>
  <si>
    <t>verrue bronzee</t>
  </si>
  <si>
    <t>R1325</t>
  </si>
  <si>
    <t>vieille aile noire</t>
  </si>
  <si>
    <t>R1326</t>
  </si>
  <si>
    <t>vieille ananas</t>
  </si>
  <si>
    <t>R1327</t>
  </si>
  <si>
    <t>vieille commune</t>
  </si>
  <si>
    <t>R1328</t>
  </si>
  <si>
    <t>vieille de corail</t>
  </si>
  <si>
    <t>R1329</t>
  </si>
  <si>
    <t>vieille roga</t>
  </si>
  <si>
    <t>R1330</t>
  </si>
  <si>
    <t>vivaneau</t>
  </si>
  <si>
    <t>R1331</t>
  </si>
  <si>
    <t>vivaneau a lignes jaunes</t>
  </si>
  <si>
    <t>R1332</t>
  </si>
  <si>
    <t>vivaneau a queue jaune</t>
  </si>
  <si>
    <t>R1333</t>
  </si>
  <si>
    <t>vivaneau africain rouge</t>
  </si>
  <si>
    <t>R1334</t>
  </si>
  <si>
    <t>vivaneau argente</t>
  </si>
  <si>
    <t>R1335</t>
  </si>
  <si>
    <t>vivaneau blanc</t>
  </si>
  <si>
    <t>R1336</t>
  </si>
  <si>
    <t>vivaneau bourgeois</t>
  </si>
  <si>
    <t>R1337</t>
  </si>
  <si>
    <t>vivaneau campeche</t>
  </si>
  <si>
    <t>R1338</t>
  </si>
  <si>
    <t>vivaneau cramoisi</t>
  </si>
  <si>
    <t>R1339</t>
  </si>
  <si>
    <t>vivaneau de goree</t>
  </si>
  <si>
    <t>R1340</t>
  </si>
  <si>
    <t>vivaneau de mangrove</t>
  </si>
  <si>
    <t>R1341</t>
  </si>
  <si>
    <t>vivaneau du bengale</t>
  </si>
  <si>
    <t>R1342</t>
  </si>
  <si>
    <t>vivaneau gazou</t>
  </si>
  <si>
    <t>R1343</t>
  </si>
  <si>
    <t>vivaneau gibelot</t>
  </si>
  <si>
    <t>R1344</t>
  </si>
  <si>
    <t>vivaneau gros yeux</t>
  </si>
  <si>
    <t>R1345</t>
  </si>
  <si>
    <t>vivaneau hublot</t>
  </si>
  <si>
    <t>R1346</t>
  </si>
  <si>
    <t>vivaneau job</t>
  </si>
  <si>
    <t>R1347</t>
  </si>
  <si>
    <t>vivaneau malabar</t>
  </si>
  <si>
    <t>R1348</t>
  </si>
  <si>
    <t>vivaneau maori</t>
  </si>
  <si>
    <t>R1349</t>
  </si>
  <si>
    <t>vivaneau pagaie</t>
  </si>
  <si>
    <t>R1350</t>
  </si>
  <si>
    <t>vivaneau plat</t>
  </si>
  <si>
    <t>R1351</t>
  </si>
  <si>
    <t>vivaneau queue jaune</t>
  </si>
  <si>
    <t>R1352</t>
  </si>
  <si>
    <t>vivaneau queue noire</t>
  </si>
  <si>
    <t>R1353</t>
  </si>
  <si>
    <t>vivaneau rouge</t>
  </si>
  <si>
    <t>R1354</t>
  </si>
  <si>
    <t>vivaneau rouille</t>
  </si>
  <si>
    <t>R1355</t>
  </si>
  <si>
    <t>vivaneau rubis</t>
  </si>
  <si>
    <t>R1356</t>
  </si>
  <si>
    <t>vivaneau tetu</t>
  </si>
  <si>
    <t>R1357</t>
  </si>
  <si>
    <t>vivaneau ti yeux</t>
  </si>
  <si>
    <t>R1358</t>
  </si>
  <si>
    <t>vivaneau tidents</t>
  </si>
  <si>
    <t>R1359</t>
  </si>
  <si>
    <t>vivanneau brun d afrique</t>
  </si>
  <si>
    <t>R1360</t>
  </si>
  <si>
    <t>vivanneau chien rouge</t>
  </si>
  <si>
    <t>R1361</t>
  </si>
  <si>
    <t>vivanneau dore</t>
  </si>
  <si>
    <t>R1362</t>
  </si>
  <si>
    <t>vive</t>
  </si>
  <si>
    <t>R1363</t>
  </si>
  <si>
    <t>voilier de l atlantique</t>
  </si>
  <si>
    <t>R1364</t>
  </si>
  <si>
    <t>wahoo</t>
  </si>
  <si>
    <t>R1365</t>
  </si>
  <si>
    <t>bar à cocktail</t>
  </si>
  <si>
    <t>bar a cocktail</t>
  </si>
  <si>
    <t>R1366</t>
  </si>
  <si>
    <t>bar à cocktails</t>
  </si>
  <si>
    <t>bar a cocktails</t>
  </si>
  <si>
    <t>R1367</t>
  </si>
  <si>
    <t>bar à vin</t>
  </si>
  <si>
    <t>bar a vin</t>
  </si>
  <si>
    <t>R1368</t>
  </si>
  <si>
    <t>bar à vins</t>
  </si>
  <si>
    <t>bar a vins</t>
  </si>
  <si>
    <t>R1369</t>
  </si>
  <si>
    <t>bar hôtel</t>
  </si>
  <si>
    <t>bar hotel</t>
  </si>
  <si>
    <t>R1370</t>
  </si>
  <si>
    <t>bar lounge</t>
  </si>
  <si>
    <t>R1371</t>
  </si>
  <si>
    <t>bar restaurant</t>
  </si>
  <si>
    <t>R1372</t>
  </si>
  <si>
    <t>cocktail bar</t>
  </si>
  <si>
    <t>R1373</t>
  </si>
  <si>
    <t>wine bar</t>
  </si>
  <si>
    <t>R1374</t>
  </si>
  <si>
    <t>bonite séchée</t>
  </si>
  <si>
    <t>bonite sechee</t>
  </si>
  <si>
    <t>Composition variable.</t>
  </si>
  <si>
    <t>R1375</t>
  </si>
  <si>
    <t>bouillon asiatique</t>
  </si>
  <si>
    <t>R1376</t>
  </si>
  <si>
    <t>caesar</t>
  </si>
  <si>
    <t>R1377</t>
  </si>
  <si>
    <t>césar</t>
  </si>
  <si>
    <t>cesar</t>
  </si>
  <si>
    <t>R1378</t>
  </si>
  <si>
    <t>dashi</t>
  </si>
  <si>
    <t>R1379</t>
  </si>
  <si>
    <t>katsuobushi</t>
  </si>
  <si>
    <t>R1380</t>
  </si>
  <si>
    <t>kimchi</t>
  </si>
  <si>
    <t>R1381</t>
  </si>
  <si>
    <t>R1382</t>
  </si>
  <si>
    <t>sauce huître</t>
  </si>
  <si>
    <t>sauce huitre</t>
  </si>
  <si>
    <t>R1383</t>
  </si>
  <si>
    <t>R1384</t>
  </si>
  <si>
    <t>tapenade</t>
  </si>
  <si>
    <t>R1385</t>
  </si>
  <si>
    <t>arachide</t>
  </si>
  <si>
    <t>Arachide ou dérivé.</t>
  </si>
  <si>
    <t>R1386</t>
  </si>
  <si>
    <t>arachides</t>
  </si>
  <si>
    <t>R1387</t>
  </si>
  <si>
    <t>beurre d arachide</t>
  </si>
  <si>
    <t>R1388</t>
  </si>
  <si>
    <t>beurre de cacahuète</t>
  </si>
  <si>
    <t>beurre de cacahuete</t>
  </si>
  <si>
    <t>R1389</t>
  </si>
  <si>
    <t>cacahuète</t>
  </si>
  <si>
    <t>cacahuete</t>
  </si>
  <si>
    <t>R1390</t>
  </si>
  <si>
    <t>cacahuètes</t>
  </si>
  <si>
    <t>cacahuetes</t>
  </si>
  <si>
    <t>R1391</t>
  </si>
  <si>
    <t>farine d arachide</t>
  </si>
  <si>
    <t>R1392</t>
  </si>
  <si>
    <t>groundnut</t>
  </si>
  <si>
    <t>R1393</t>
  </si>
  <si>
    <t>groundnut oil</t>
  </si>
  <si>
    <t>R1394</t>
  </si>
  <si>
    <t>groundnuts</t>
  </si>
  <si>
    <t>R1395</t>
  </si>
  <si>
    <t>huile d arachide</t>
  </si>
  <si>
    <t>R1396</t>
  </si>
  <si>
    <t>pâte d arachide</t>
  </si>
  <si>
    <t>pate d arachide</t>
  </si>
  <si>
    <t>R1397</t>
  </si>
  <si>
    <t>peanut</t>
  </si>
  <si>
    <t>R1398</t>
  </si>
  <si>
    <t>peanut butter</t>
  </si>
  <si>
    <t>R1399</t>
  </si>
  <si>
    <t>peanuts</t>
  </si>
  <si>
    <t>R1400</t>
  </si>
  <si>
    <t>praliné cacahuète</t>
  </si>
  <si>
    <t>praline cacahuete</t>
  </si>
  <si>
    <t>R1401</t>
  </si>
  <si>
    <t>protéine d arachide</t>
  </si>
  <si>
    <t>proteine d arachide</t>
  </si>
  <si>
    <t>R1402</t>
  </si>
  <si>
    <t>satay</t>
  </si>
  <si>
    <t>R1403</t>
  </si>
  <si>
    <t>saté</t>
  </si>
  <si>
    <t>sate</t>
  </si>
  <si>
    <t>R1404</t>
  </si>
  <si>
    <t>sauce cacahuète</t>
  </si>
  <si>
    <t>sauce cacahuete</t>
  </si>
  <si>
    <t>R1405</t>
  </si>
  <si>
    <t>sauce satay</t>
  </si>
  <si>
    <t>R1406</t>
  </si>
  <si>
    <t>boisson au soja</t>
  </si>
  <si>
    <t>Soja ou dérivé explicite.</t>
  </si>
  <si>
    <t>R1407</t>
  </si>
  <si>
    <t>concentré de soja</t>
  </si>
  <si>
    <t>concentre de soja</t>
  </si>
  <si>
    <t>R1408</t>
  </si>
  <si>
    <t>crème de soja</t>
  </si>
  <si>
    <t>creme de soja</t>
  </si>
  <si>
    <t>R1409</t>
  </si>
  <si>
    <t>dessert soja</t>
  </si>
  <si>
    <t>R1410</t>
  </si>
  <si>
    <t>E322 soja</t>
  </si>
  <si>
    <t>e322 soja</t>
  </si>
  <si>
    <t>R1411</t>
  </si>
  <si>
    <t>edamame</t>
  </si>
  <si>
    <t>R1412</t>
  </si>
  <si>
    <t>farine de soja</t>
  </si>
  <si>
    <t>R1413</t>
  </si>
  <si>
    <t>fève de soja</t>
  </si>
  <si>
    <t>feve de soja</t>
  </si>
  <si>
    <t>R1414</t>
  </si>
  <si>
    <t>fèves de soja</t>
  </si>
  <si>
    <t>feves de soja</t>
  </si>
  <si>
    <t>R1415</t>
  </si>
  <si>
    <t>graisse de soja</t>
  </si>
  <si>
    <t>R1416</t>
  </si>
  <si>
    <t>huile de soja</t>
  </si>
  <si>
    <t>R1417</t>
  </si>
  <si>
    <t>isolat de soja</t>
  </si>
  <si>
    <t>R1418</t>
  </si>
  <si>
    <t>lait de soja</t>
  </si>
  <si>
    <t>R1419</t>
  </si>
  <si>
    <t>lécithine de soja</t>
  </si>
  <si>
    <t>lecithine de soja</t>
  </si>
  <si>
    <t>R1420</t>
  </si>
  <si>
    <t>miso</t>
  </si>
  <si>
    <t>R1421</t>
  </si>
  <si>
    <t>natto</t>
  </si>
  <si>
    <t>R1422</t>
  </si>
  <si>
    <t>okara</t>
  </si>
  <si>
    <t>R1423</t>
  </si>
  <si>
    <t>protéine de soja</t>
  </si>
  <si>
    <t>proteine de soja</t>
  </si>
  <si>
    <t>R1424</t>
  </si>
  <si>
    <t>protéine végétale texturée</t>
  </si>
  <si>
    <t>proteine vegetale texturee</t>
  </si>
  <si>
    <t>R1425</t>
  </si>
  <si>
    <t>protéines de soja</t>
  </si>
  <si>
    <t>proteines de soja</t>
  </si>
  <si>
    <t>R1426</t>
  </si>
  <si>
    <t>PVT soja</t>
  </si>
  <si>
    <t>pvt soja</t>
  </si>
  <si>
    <t>R1427</t>
  </si>
  <si>
    <t>R1428</t>
  </si>
  <si>
    <t>R1429</t>
  </si>
  <si>
    <t>soja</t>
  </si>
  <si>
    <t>R1430</t>
  </si>
  <si>
    <t>soy</t>
  </si>
  <si>
    <t>R1431</t>
  </si>
  <si>
    <t>soy milk</t>
  </si>
  <si>
    <t>R1432</t>
  </si>
  <si>
    <t>soy sauce</t>
  </si>
  <si>
    <t>R1433</t>
  </si>
  <si>
    <t>soya</t>
  </si>
  <si>
    <t>R1434</t>
  </si>
  <si>
    <t>soya sauce</t>
  </si>
  <si>
    <t>R1435</t>
  </si>
  <si>
    <t>soybean</t>
  </si>
  <si>
    <t>R1436</t>
  </si>
  <si>
    <t>soybeans</t>
  </si>
  <si>
    <t>R1437</t>
  </si>
  <si>
    <t>tamari</t>
  </si>
  <si>
    <t>R1438</t>
  </si>
  <si>
    <t>tempeh</t>
  </si>
  <si>
    <t>R1439</t>
  </si>
  <si>
    <t>toffu</t>
  </si>
  <si>
    <t>R1440</t>
  </si>
  <si>
    <t>tofu</t>
  </si>
  <si>
    <t>R1441</t>
  </si>
  <si>
    <t>TVP soja</t>
  </si>
  <si>
    <t>tvp soja</t>
  </si>
  <si>
    <t>R1442</t>
  </si>
  <si>
    <t>yaourt soja</t>
  </si>
  <si>
    <t>R1443</t>
  </si>
  <si>
    <t>yuba</t>
  </si>
  <si>
    <t>R1444</t>
  </si>
  <si>
    <t>graisse de soja entièrement raffinée</t>
  </si>
  <si>
    <t>graisse de soja entierement raffinee</t>
  </si>
  <si>
    <t>Exception réglementaire.</t>
  </si>
  <si>
    <t>R1445</t>
  </si>
  <si>
    <t>huile de soja entièrement raffinée</t>
  </si>
  <si>
    <t>huile de soja entierement raffinee</t>
  </si>
  <si>
    <t>R1446</t>
  </si>
  <si>
    <t>charcuterie industrielle</t>
  </si>
  <si>
    <t>R1447</t>
  </si>
  <si>
    <t>chocolat</t>
  </si>
  <si>
    <t>R1448</t>
  </si>
  <si>
    <t>couverture</t>
  </si>
  <si>
    <t>R1449</t>
  </si>
  <si>
    <t>R1450</t>
  </si>
  <si>
    <t>lécithine</t>
  </si>
  <si>
    <t>lecithine</t>
  </si>
  <si>
    <t>R1451</t>
  </si>
  <si>
    <t>margarine</t>
  </si>
  <si>
    <t>R1452</t>
  </si>
  <si>
    <t>protéine végétale</t>
  </si>
  <si>
    <t>proteine vegetale</t>
  </si>
  <si>
    <t>R1453</t>
  </si>
  <si>
    <t>sauce asiatique</t>
  </si>
  <si>
    <t>R1454</t>
  </si>
  <si>
    <t>sauce hoisin</t>
  </si>
  <si>
    <t>R1455</t>
  </si>
  <si>
    <t>sauce teriyaki</t>
  </si>
  <si>
    <t>R1456</t>
  </si>
  <si>
    <t>sauce yakitori</t>
  </si>
  <si>
    <t>R1457</t>
  </si>
  <si>
    <t>abondance</t>
  </si>
  <si>
    <t>Cuisine, pâtisserie, glacier, bar, charcuterie, traiteur, fromager</t>
  </si>
  <si>
    <t>Terme laitier ou fromage contenant l’allergène lait.</t>
  </si>
  <si>
    <t>2026-07</t>
  </si>
  <si>
    <t>R1458</t>
  </si>
  <si>
    <t>akkawi</t>
  </si>
  <si>
    <t>R1459</t>
  </si>
  <si>
    <t>american cheese</t>
  </si>
  <si>
    <t>R1460</t>
  </si>
  <si>
    <t>appenzeller</t>
  </si>
  <si>
    <t>R1461</t>
  </si>
  <si>
    <t>asiago</t>
  </si>
  <si>
    <t>R1462</t>
  </si>
  <si>
    <t>assiette de fromages</t>
  </si>
  <si>
    <t>R1463</t>
  </si>
  <si>
    <t>babeurre</t>
  </si>
  <si>
    <t>Lait, protéine laitière ou produit laitier.</t>
  </si>
  <si>
    <t>R1464</t>
  </si>
  <si>
    <t>babybel</t>
  </si>
  <si>
    <t>R1465</t>
  </si>
  <si>
    <t>baileys</t>
  </si>
  <si>
    <t>R1466</t>
  </si>
  <si>
    <t>banon</t>
  </si>
  <si>
    <t>R1467</t>
  </si>
  <si>
    <t>beaufort</t>
  </si>
  <si>
    <t>R1468</t>
  </si>
  <si>
    <t>bel paese</t>
  </si>
  <si>
    <t>R1469</t>
  </si>
  <si>
    <t>beurre</t>
  </si>
  <si>
    <t>R1470</t>
  </si>
  <si>
    <t>beurre blanc</t>
  </si>
  <si>
    <t>R1471</t>
  </si>
  <si>
    <t>beurre clarifié</t>
  </si>
  <si>
    <t>beurre clarifie</t>
  </si>
  <si>
    <t>R1472</t>
  </si>
  <si>
    <t>beurre demi sel</t>
  </si>
  <si>
    <t>R1473</t>
  </si>
  <si>
    <t>beurre doux</t>
  </si>
  <si>
    <t>R1474</t>
  </si>
  <si>
    <t>beurre laitier</t>
  </si>
  <si>
    <t>R1475</t>
  </si>
  <si>
    <t>beurre maître d'hôtel</t>
  </si>
  <si>
    <t>beurre maitre d hotel</t>
  </si>
  <si>
    <t>R1476</t>
  </si>
  <si>
    <t>beurre noisette</t>
  </si>
  <si>
    <t>R1477</t>
  </si>
  <si>
    <t>beurre salé</t>
  </si>
  <si>
    <t>beurre sale</t>
  </si>
  <si>
    <t>R1478</t>
  </si>
  <si>
    <t>bleu</t>
  </si>
  <si>
    <t>R1479</t>
  </si>
  <si>
    <t>bleu d auvergne</t>
  </si>
  <si>
    <t>R1480</t>
  </si>
  <si>
    <t>bleu de gex</t>
  </si>
  <si>
    <t>R1481</t>
  </si>
  <si>
    <t>bleu des causses</t>
  </si>
  <si>
    <t>R1482</t>
  </si>
  <si>
    <t>bleu du vercors sassenage</t>
  </si>
  <si>
    <t>R1483</t>
  </si>
  <si>
    <t>boursin</t>
  </si>
  <si>
    <t>R1484</t>
  </si>
  <si>
    <t>brie</t>
  </si>
  <si>
    <t>R1485</t>
  </si>
  <si>
    <t>brie de meaux</t>
  </si>
  <si>
    <t>R1486</t>
  </si>
  <si>
    <t>brie de melun</t>
  </si>
  <si>
    <t>R1487</t>
  </si>
  <si>
    <t>brillat-savarin</t>
  </si>
  <si>
    <t>brillat savarin</t>
  </si>
  <si>
    <t>R1488</t>
  </si>
  <si>
    <t>brocciu</t>
  </si>
  <si>
    <t>R1489</t>
  </si>
  <si>
    <t>brousse</t>
  </si>
  <si>
    <t>R1490</t>
  </si>
  <si>
    <t>brown butter</t>
  </si>
  <si>
    <t>R1491</t>
  </si>
  <si>
    <t>bryndza</t>
  </si>
  <si>
    <t>R1492</t>
  </si>
  <si>
    <t>bûche de chèvre</t>
  </si>
  <si>
    <t>buche de chevre</t>
  </si>
  <si>
    <t>R1493</t>
  </si>
  <si>
    <t>burrata</t>
  </si>
  <si>
    <t>R1494</t>
  </si>
  <si>
    <t>butter</t>
  </si>
  <si>
    <t>R1495</t>
  </si>
  <si>
    <t>buttermilk</t>
  </si>
  <si>
    <t>R1496</t>
  </si>
  <si>
    <t>cabécou</t>
  </si>
  <si>
    <t>cabecou</t>
  </si>
  <si>
    <t>R1497</t>
  </si>
  <si>
    <t>cabrales</t>
  </si>
  <si>
    <t>R1498</t>
  </si>
  <si>
    <t>caciocavallo</t>
  </si>
  <si>
    <t>R1499</t>
  </si>
  <si>
    <t>caerphilly</t>
  </si>
  <si>
    <t>R1500</t>
  </si>
  <si>
    <t>café au lait</t>
  </si>
  <si>
    <t>cafe au lait</t>
  </si>
  <si>
    <t>R1501</t>
  </si>
  <si>
    <t>café latte</t>
  </si>
  <si>
    <t>cafe latte</t>
  </si>
  <si>
    <t>R1502</t>
  </si>
  <si>
    <t>camembert</t>
  </si>
  <si>
    <t>R1503</t>
  </si>
  <si>
    <t>camembert de normandie</t>
  </si>
  <si>
    <t>R1504</t>
  </si>
  <si>
    <t>cancoillotte</t>
  </si>
  <si>
    <t>R1505</t>
  </si>
  <si>
    <t>cantal</t>
  </si>
  <si>
    <t>R1506</t>
  </si>
  <si>
    <t>cappuccino au lait</t>
  </si>
  <si>
    <t>R1507</t>
  </si>
  <si>
    <t>caprice des dieux</t>
  </si>
  <si>
    <t>R1508</t>
  </si>
  <si>
    <t>caramel au beurre</t>
  </si>
  <si>
    <t>R1509</t>
  </si>
  <si>
    <t>caramel au beurre salé</t>
  </si>
  <si>
    <t>caramel au beurre sale</t>
  </si>
  <si>
    <t>R1510</t>
  </si>
  <si>
    <t>caramel beurre salé</t>
  </si>
  <si>
    <t>caramel beurre sale</t>
  </si>
  <si>
    <t>R1511</t>
  </si>
  <si>
    <t>carré frais</t>
  </si>
  <si>
    <t>carre frais</t>
  </si>
  <si>
    <t>R1512</t>
  </si>
  <si>
    <t>casein</t>
  </si>
  <si>
    <t>R1513</t>
  </si>
  <si>
    <t>caséinate</t>
  </si>
  <si>
    <t>caseinate</t>
  </si>
  <si>
    <t>R1514</t>
  </si>
  <si>
    <t>caséinate de calcium</t>
  </si>
  <si>
    <t>caseinate de calcium</t>
  </si>
  <si>
    <t>R1515</t>
  </si>
  <si>
    <t>caséinate de sodium</t>
  </si>
  <si>
    <t>caseinate de sodium</t>
  </si>
  <si>
    <t>R1516</t>
  </si>
  <si>
    <t>caséinates</t>
  </si>
  <si>
    <t>caseinates</t>
  </si>
  <si>
    <t>R1517</t>
  </si>
  <si>
    <t>caséine</t>
  </si>
  <si>
    <t>caseine</t>
  </si>
  <si>
    <t>R1518</t>
  </si>
  <si>
    <t>chabichou du poitou</t>
  </si>
  <si>
    <t>R1519</t>
  </si>
  <si>
    <t>chantilly</t>
  </si>
  <si>
    <t>R1520</t>
  </si>
  <si>
    <t>chaource</t>
  </si>
  <si>
    <t>R1521</t>
  </si>
  <si>
    <t>charolais</t>
  </si>
  <si>
    <t>R1522</t>
  </si>
  <si>
    <t>cheddar</t>
  </si>
  <si>
    <t>R1523</t>
  </si>
  <si>
    <t>cheese</t>
  </si>
  <si>
    <t>R1524</t>
  </si>
  <si>
    <t>cheshire</t>
  </si>
  <si>
    <t>R1525</t>
  </si>
  <si>
    <t>chèvre</t>
  </si>
  <si>
    <t>chevre</t>
  </si>
  <si>
    <t>R1526</t>
  </si>
  <si>
    <t>chèvre frais</t>
  </si>
  <si>
    <t>chevre frais</t>
  </si>
  <si>
    <t>R1527</t>
  </si>
  <si>
    <t>chhena</t>
  </si>
  <si>
    <t>R1528</t>
  </si>
  <si>
    <t>chocolat au lait</t>
  </si>
  <si>
    <t>R1529</t>
  </si>
  <si>
    <t>chocolat blanc</t>
  </si>
  <si>
    <t>R1530</t>
  </si>
  <si>
    <t>clotted cream</t>
  </si>
  <si>
    <t>R1531</t>
  </si>
  <si>
    <t>colby</t>
  </si>
  <si>
    <t>R1532</t>
  </si>
  <si>
    <t>comté</t>
  </si>
  <si>
    <t>comte</t>
  </si>
  <si>
    <t>R1533</t>
  </si>
  <si>
    <t>confiture de lait</t>
  </si>
  <si>
    <t>R1534</t>
  </si>
  <si>
    <t>cottage cheese</t>
  </si>
  <si>
    <t>R1535</t>
  </si>
  <si>
    <t>coulommiers</t>
  </si>
  <si>
    <t>R1536</t>
  </si>
  <si>
    <t>cream</t>
  </si>
  <si>
    <t>R1537</t>
  </si>
  <si>
    <t>cream cheese</t>
  </si>
  <si>
    <t>R1538</t>
  </si>
  <si>
    <t>cream liqueur</t>
  </si>
  <si>
    <t>R1539</t>
  </si>
  <si>
    <t>crème</t>
  </si>
  <si>
    <t>creme</t>
  </si>
  <si>
    <t>R1540</t>
  </si>
  <si>
    <t>crème aigre</t>
  </si>
  <si>
    <t>creme aigre</t>
  </si>
  <si>
    <t>R1541</t>
  </si>
  <si>
    <t>crème chantilly</t>
  </si>
  <si>
    <t>creme chantilly</t>
  </si>
  <si>
    <t>R1542</t>
  </si>
  <si>
    <t>crème de whisky</t>
  </si>
  <si>
    <t>creme de whisky</t>
  </si>
  <si>
    <t>R1543</t>
  </si>
  <si>
    <t>crème double</t>
  </si>
  <si>
    <t>creme double</t>
  </si>
  <si>
    <t>R1544</t>
  </si>
  <si>
    <t>crème entière</t>
  </si>
  <si>
    <t>creme entiere</t>
  </si>
  <si>
    <t>R1545</t>
  </si>
  <si>
    <t>crème épaisse</t>
  </si>
  <si>
    <t>creme epaisse</t>
  </si>
  <si>
    <t>R1546</t>
  </si>
  <si>
    <t>crème fleurette</t>
  </si>
  <si>
    <t>creme fleurette</t>
  </si>
  <si>
    <t>R1547</t>
  </si>
  <si>
    <t>crème fraîche</t>
  </si>
  <si>
    <t>creme fraiche</t>
  </si>
  <si>
    <t>R1548</t>
  </si>
  <si>
    <t>R1549</t>
  </si>
  <si>
    <t>crème liquide</t>
  </si>
  <si>
    <t>creme liquide</t>
  </si>
  <si>
    <t>R1550</t>
  </si>
  <si>
    <t>crescenza</t>
  </si>
  <si>
    <t>R1551</t>
  </si>
  <si>
    <t>crottin</t>
  </si>
  <si>
    <t>R1552</t>
  </si>
  <si>
    <t>crottin de chavignol</t>
  </si>
  <si>
    <t>R1553</t>
  </si>
  <si>
    <t>double cream</t>
  </si>
  <si>
    <t>R1554</t>
  </si>
  <si>
    <t>double gloucester</t>
  </si>
  <si>
    <t>R1555</t>
  </si>
  <si>
    <t>dulce de leche</t>
  </si>
  <si>
    <t>R1556</t>
  </si>
  <si>
    <t>edam</t>
  </si>
  <si>
    <t>R1557</t>
  </si>
  <si>
    <t>emmental</t>
  </si>
  <si>
    <t>R1558</t>
  </si>
  <si>
    <t>emmental râpé</t>
  </si>
  <si>
    <t>emmental rape</t>
  </si>
  <si>
    <t>R1559</t>
  </si>
  <si>
    <t>emmenthal</t>
  </si>
  <si>
    <t>R1560</t>
  </si>
  <si>
    <t>emmenthal râpé</t>
  </si>
  <si>
    <t>emmenthal rape</t>
  </si>
  <si>
    <t>R1561</t>
  </si>
  <si>
    <t>époisses</t>
  </si>
  <si>
    <t>epoisses</t>
  </si>
  <si>
    <t>R1562</t>
  </si>
  <si>
    <t>extrait sec laitier</t>
  </si>
  <si>
    <t>R1563</t>
  </si>
  <si>
    <t>faisselle</t>
  </si>
  <si>
    <t>R1564</t>
  </si>
  <si>
    <t>feta</t>
  </si>
  <si>
    <t>R1565</t>
  </si>
  <si>
    <t>flat white</t>
  </si>
  <si>
    <t>R1566</t>
  </si>
  <si>
    <t>fontina</t>
  </si>
  <si>
    <t>R1567</t>
  </si>
  <si>
    <t>fourme</t>
  </si>
  <si>
    <t>R1568</t>
  </si>
  <si>
    <t>fourme d'ambert</t>
  </si>
  <si>
    <t>fourme d ambert</t>
  </si>
  <si>
    <t>R1569</t>
  </si>
  <si>
    <t>fourme de montbrison</t>
  </si>
  <si>
    <t>R1570</t>
  </si>
  <si>
    <t>fromage</t>
  </si>
  <si>
    <t>R1571</t>
  </si>
  <si>
    <t>fromage à tartiner</t>
  </si>
  <si>
    <t>fromage a tartiner</t>
  </si>
  <si>
    <t>R1572</t>
  </si>
  <si>
    <t>fromage battu</t>
  </si>
  <si>
    <t>R1573</t>
  </si>
  <si>
    <t>fromage blanc</t>
  </si>
  <si>
    <t>R1574</t>
  </si>
  <si>
    <t>fromage de brebis</t>
  </si>
  <si>
    <t>R1575</t>
  </si>
  <si>
    <t>fromage de chèvre</t>
  </si>
  <si>
    <t>fromage de chevre</t>
  </si>
  <si>
    <t>R1576</t>
  </si>
  <si>
    <t>fromage de vache</t>
  </si>
  <si>
    <t>R1577</t>
  </si>
  <si>
    <t>fromage fondu</t>
  </si>
  <si>
    <t>R1578</t>
  </si>
  <si>
    <t>fromage frais</t>
  </si>
  <si>
    <t>R1579</t>
  </si>
  <si>
    <t>fromage râpé</t>
  </si>
  <si>
    <t>fromage rape</t>
  </si>
  <si>
    <t>R1580</t>
  </si>
  <si>
    <t>fromages</t>
  </si>
  <si>
    <t>R1581</t>
  </si>
  <si>
    <t>frozen yogurt</t>
  </si>
  <si>
    <t>R1582</t>
  </si>
  <si>
    <t>ganache</t>
  </si>
  <si>
    <t>R1583</t>
  </si>
  <si>
    <t>gaperon</t>
  </si>
  <si>
    <t>R1584</t>
  </si>
  <si>
    <t>gelato</t>
  </si>
  <si>
    <t>R1585</t>
  </si>
  <si>
    <t>ghee</t>
  </si>
  <si>
    <t>R1586</t>
  </si>
  <si>
    <t>glace au lait</t>
  </si>
  <si>
    <t>R1587</t>
  </si>
  <si>
    <t>gorgonzola</t>
  </si>
  <si>
    <t>R1588</t>
  </si>
  <si>
    <t>gouda</t>
  </si>
  <si>
    <t>R1589</t>
  </si>
  <si>
    <t>grana padano</t>
  </si>
  <si>
    <t>R1590</t>
  </si>
  <si>
    <t>graviera</t>
  </si>
  <si>
    <t>R1591</t>
  </si>
  <si>
    <t>gruyère</t>
  </si>
  <si>
    <t>gruyere</t>
  </si>
  <si>
    <t>R1592</t>
  </si>
  <si>
    <t>gruyère râpé</t>
  </si>
  <si>
    <t>gruyere rape</t>
  </si>
  <si>
    <t>R1593</t>
  </si>
  <si>
    <t>halloumi</t>
  </si>
  <si>
    <t>R1594</t>
  </si>
  <si>
    <t>heavy cream</t>
  </si>
  <si>
    <t>R1595</t>
  </si>
  <si>
    <t>ice cream</t>
  </si>
  <si>
    <t>R1596</t>
  </si>
  <si>
    <t>idiazabal</t>
  </si>
  <si>
    <t>R1597</t>
  </si>
  <si>
    <t>irish cream</t>
  </si>
  <si>
    <t>R1598</t>
  </si>
  <si>
    <t>kashkaval</t>
  </si>
  <si>
    <t>R1599</t>
  </si>
  <si>
    <t>kasseri</t>
  </si>
  <si>
    <t>R1600</t>
  </si>
  <si>
    <t>kefalotyri</t>
  </si>
  <si>
    <t>R1601</t>
  </si>
  <si>
    <t>kéfir</t>
  </si>
  <si>
    <t>kefir</t>
  </si>
  <si>
    <t>R1602</t>
  </si>
  <si>
    <t>kiri</t>
  </si>
  <si>
    <t>R1603</t>
  </si>
  <si>
    <t>la vache qui rit</t>
  </si>
  <si>
    <t>R1604</t>
  </si>
  <si>
    <t>labneh</t>
  </si>
  <si>
    <t>R1605</t>
  </si>
  <si>
    <t>lactalbumine</t>
  </si>
  <si>
    <t>R1606</t>
  </si>
  <si>
    <t>lactoglobuline</t>
  </si>
  <si>
    <t>R1607</t>
  </si>
  <si>
    <t>lactose</t>
  </si>
  <si>
    <t>R1608</t>
  </si>
  <si>
    <t>lactose monohydraté</t>
  </si>
  <si>
    <t>lactose monohydrate</t>
  </si>
  <si>
    <t>R1609</t>
  </si>
  <si>
    <t>lactosérum</t>
  </si>
  <si>
    <t>lactoserum</t>
  </si>
  <si>
    <t>R1610</t>
  </si>
  <si>
    <t>laguiole</t>
  </si>
  <si>
    <t>R1611</t>
  </si>
  <si>
    <t>lait</t>
  </si>
  <si>
    <t>R1612</t>
  </si>
  <si>
    <t>lait concentré</t>
  </si>
  <si>
    <t>lait concentre</t>
  </si>
  <si>
    <t>R1613</t>
  </si>
  <si>
    <t>lait concentré sucré</t>
  </si>
  <si>
    <t>lait concentre sucre</t>
  </si>
  <si>
    <t>R1614</t>
  </si>
  <si>
    <t>lait cru</t>
  </si>
  <si>
    <t>R1615</t>
  </si>
  <si>
    <t>lait de brebis</t>
  </si>
  <si>
    <t>R1616</t>
  </si>
  <si>
    <t>lait de bufflonne</t>
  </si>
  <si>
    <t>R1617</t>
  </si>
  <si>
    <t>lait de chèvre</t>
  </si>
  <si>
    <t>lait de chevre</t>
  </si>
  <si>
    <t>R1618</t>
  </si>
  <si>
    <t>lait de vache</t>
  </si>
  <si>
    <t>R1619</t>
  </si>
  <si>
    <t>lait demi écrémé</t>
  </si>
  <si>
    <t>lait demi ecreme</t>
  </si>
  <si>
    <t>R1620</t>
  </si>
  <si>
    <t>lait écrémé</t>
  </si>
  <si>
    <t>lait ecreme</t>
  </si>
  <si>
    <t>R1621</t>
  </si>
  <si>
    <t>lait en poudre</t>
  </si>
  <si>
    <t>R1622</t>
  </si>
  <si>
    <t>lait entier</t>
  </si>
  <si>
    <t>R1623</t>
  </si>
  <si>
    <t>lait évaporé</t>
  </si>
  <si>
    <t>lait evapore</t>
  </si>
  <si>
    <t>R1624</t>
  </si>
  <si>
    <t>lait fermenté</t>
  </si>
  <si>
    <t>lait fermente</t>
  </si>
  <si>
    <t>R1625</t>
  </si>
  <si>
    <t>lait frappé</t>
  </si>
  <si>
    <t>lait frappe</t>
  </si>
  <si>
    <t>R1626</t>
  </si>
  <si>
    <t>lait microfiltré</t>
  </si>
  <si>
    <t>lait microfiltre</t>
  </si>
  <si>
    <t>R1627</t>
  </si>
  <si>
    <t>lait pasteurisé</t>
  </si>
  <si>
    <t>lait pasteurise</t>
  </si>
  <si>
    <t>R1628</t>
  </si>
  <si>
    <t>lait ribot</t>
  </si>
  <si>
    <t>R1629</t>
  </si>
  <si>
    <t>lait UHT</t>
  </si>
  <si>
    <t>lait uht</t>
  </si>
  <si>
    <t>R1630</t>
  </si>
  <si>
    <t>langres</t>
  </si>
  <si>
    <t>R1631</t>
  </si>
  <si>
    <t>latte macchiato</t>
  </si>
  <si>
    <t>R1632</t>
  </si>
  <si>
    <t>lben</t>
  </si>
  <si>
    <t>R1633</t>
  </si>
  <si>
    <t>leben</t>
  </si>
  <si>
    <t>R1634</t>
  </si>
  <si>
    <t>livarot</t>
  </si>
  <si>
    <t>R1635</t>
  </si>
  <si>
    <t>maasdam</t>
  </si>
  <si>
    <t>R1636</t>
  </si>
  <si>
    <t>mahón</t>
  </si>
  <si>
    <t>mahon</t>
  </si>
  <si>
    <t>R1637</t>
  </si>
  <si>
    <t>manchego</t>
  </si>
  <si>
    <t>R1638</t>
  </si>
  <si>
    <t>manouri</t>
  </si>
  <si>
    <t>R1639</t>
  </si>
  <si>
    <t>maroilles</t>
  </si>
  <si>
    <t>R1640</t>
  </si>
  <si>
    <t>mascarpone</t>
  </si>
  <si>
    <t>R1641</t>
  </si>
  <si>
    <t>matière grasse laitière</t>
  </si>
  <si>
    <t>matiere grasse laitiere</t>
  </si>
  <si>
    <t>R1642</t>
  </si>
  <si>
    <t>milk</t>
  </si>
  <si>
    <t>R1643</t>
  </si>
  <si>
    <t>milkshake</t>
  </si>
  <si>
    <t>R1644</t>
  </si>
  <si>
    <t>mimolette</t>
  </si>
  <si>
    <t>R1645</t>
  </si>
  <si>
    <t>mont d'or</t>
  </si>
  <si>
    <t>mont d or</t>
  </si>
  <si>
    <t>R1646</t>
  </si>
  <si>
    <t>monterey jack</t>
  </si>
  <si>
    <t>R1647</t>
  </si>
  <si>
    <t>morbier</t>
  </si>
  <si>
    <t>R1648</t>
  </si>
  <si>
    <t>mozzarella</t>
  </si>
  <si>
    <t>R1649</t>
  </si>
  <si>
    <t>mozzarella di bufala</t>
  </si>
  <si>
    <t>R1650</t>
  </si>
  <si>
    <t>munster</t>
  </si>
  <si>
    <t>R1651</t>
  </si>
  <si>
    <t>nabulsi</t>
  </si>
  <si>
    <t>R1652</t>
  </si>
  <si>
    <t>neufchâtel</t>
  </si>
  <si>
    <t>neufchatel</t>
  </si>
  <si>
    <t>R1653</t>
  </si>
  <si>
    <t>ossau-iraty</t>
  </si>
  <si>
    <t>ossau iraty</t>
  </si>
  <si>
    <t>R1654</t>
  </si>
  <si>
    <t>paneer</t>
  </si>
  <si>
    <t>R1655</t>
  </si>
  <si>
    <t>parmesan</t>
  </si>
  <si>
    <t>R1656</t>
  </si>
  <si>
    <t>parmesan râpé</t>
  </si>
  <si>
    <t>parmesan rape</t>
  </si>
  <si>
    <t>R1657</t>
  </si>
  <si>
    <t>parmigiano</t>
  </si>
  <si>
    <t>R1658</t>
  </si>
  <si>
    <t>parmigiano reggiano</t>
  </si>
  <si>
    <t>R1659</t>
  </si>
  <si>
    <t>pâte molle</t>
  </si>
  <si>
    <t>pate molle</t>
  </si>
  <si>
    <t>R1660</t>
  </si>
  <si>
    <t>pâte persillée</t>
  </si>
  <si>
    <t>pate persillee</t>
  </si>
  <si>
    <t>R1661</t>
  </si>
  <si>
    <t>pâte pressée</t>
  </si>
  <si>
    <t>pate pressee</t>
  </si>
  <si>
    <t>R1662</t>
  </si>
  <si>
    <t>pecorino</t>
  </si>
  <si>
    <t>R1663</t>
  </si>
  <si>
    <t>pecorino romano</t>
  </si>
  <si>
    <t>R1664</t>
  </si>
  <si>
    <t>pélardon</t>
  </si>
  <si>
    <t>pelardon</t>
  </si>
  <si>
    <t>R1665</t>
  </si>
  <si>
    <t>pepper jack</t>
  </si>
  <si>
    <t>R1666</t>
  </si>
  <si>
    <t>perméat de lait</t>
  </si>
  <si>
    <t>permeat de lait</t>
  </si>
  <si>
    <t>R1667</t>
  </si>
  <si>
    <t>petit lait</t>
  </si>
  <si>
    <t>R1668</t>
  </si>
  <si>
    <t>petit suisse</t>
  </si>
  <si>
    <t>R1669</t>
  </si>
  <si>
    <t>philadelphia</t>
  </si>
  <si>
    <t>R1670</t>
  </si>
  <si>
    <t>picodon</t>
  </si>
  <si>
    <t>R1671</t>
  </si>
  <si>
    <t>plateau de fromages</t>
  </si>
  <si>
    <t>R1672</t>
  </si>
  <si>
    <t>pont l évêque</t>
  </si>
  <si>
    <t>pont l eveque</t>
  </si>
  <si>
    <t>R1673</t>
  </si>
  <si>
    <t>port-salut</t>
  </si>
  <si>
    <t>port salut</t>
  </si>
  <si>
    <t>R1674</t>
  </si>
  <si>
    <t>poudre de lactosérum</t>
  </si>
  <si>
    <t>poudre de lactoserum</t>
  </si>
  <si>
    <t>R1675</t>
  </si>
  <si>
    <t>poudre de lait</t>
  </si>
  <si>
    <t>R1676</t>
  </si>
  <si>
    <t>poudre de lait écrémé</t>
  </si>
  <si>
    <t>poudre de lait ecreme</t>
  </si>
  <si>
    <t>R1677</t>
  </si>
  <si>
    <t>protéine de lait</t>
  </si>
  <si>
    <t>proteine de lait</t>
  </si>
  <si>
    <t>R1678</t>
  </si>
  <si>
    <t>protéine laitière</t>
  </si>
  <si>
    <t>proteine laitiere</t>
  </si>
  <si>
    <t>R1679</t>
  </si>
  <si>
    <t>protéines de lactosérum</t>
  </si>
  <si>
    <t>proteines de lactoserum</t>
  </si>
  <si>
    <t>R1680</t>
  </si>
  <si>
    <t>protéines de lait</t>
  </si>
  <si>
    <t>proteines de lait</t>
  </si>
  <si>
    <t>R1681</t>
  </si>
  <si>
    <t>provolone</t>
  </si>
  <si>
    <t>R1682</t>
  </si>
  <si>
    <t>quark</t>
  </si>
  <si>
    <t>R1683</t>
  </si>
  <si>
    <t>queso blanco</t>
  </si>
  <si>
    <t>R1684</t>
  </si>
  <si>
    <t>queso fresco</t>
  </si>
  <si>
    <t>R1685</t>
  </si>
  <si>
    <t>raclette</t>
  </si>
  <si>
    <t>R1686</t>
  </si>
  <si>
    <t>reblochon</t>
  </si>
  <si>
    <t>R1687</t>
  </si>
  <si>
    <t>red leicester</t>
  </si>
  <si>
    <t>R1688</t>
  </si>
  <si>
    <t>ricotta</t>
  </si>
  <si>
    <t>R1689</t>
  </si>
  <si>
    <t>rigotte de condrieu</t>
  </si>
  <si>
    <t>R1690</t>
  </si>
  <si>
    <t>rocamadour</t>
  </si>
  <si>
    <t>R1691</t>
  </si>
  <si>
    <t>roquefort</t>
  </si>
  <si>
    <t>R1692</t>
  </si>
  <si>
    <t>saint-félicien</t>
  </si>
  <si>
    <t>saint felicien</t>
  </si>
  <si>
    <t>R1693</t>
  </si>
  <si>
    <t>saint-marcellin</t>
  </si>
  <si>
    <t>saint marcellin</t>
  </si>
  <si>
    <t>R1694</t>
  </si>
  <si>
    <t>saint môret</t>
  </si>
  <si>
    <t>saint moret</t>
  </si>
  <si>
    <t>R1695</t>
  </si>
  <si>
    <t>saint nectaire</t>
  </si>
  <si>
    <t>R1696</t>
  </si>
  <si>
    <t>sainte-maure de touraine</t>
  </si>
  <si>
    <t>sainte maure de touraine</t>
  </si>
  <si>
    <t>R1697</t>
  </si>
  <si>
    <t>salers</t>
  </si>
  <si>
    <t>R1698</t>
  </si>
  <si>
    <t>sauce à la crème</t>
  </si>
  <si>
    <t>sauce a la creme</t>
  </si>
  <si>
    <t>R1699</t>
  </si>
  <si>
    <t>sauce au beurre</t>
  </si>
  <si>
    <t>R1700</t>
  </si>
  <si>
    <t>sauce au fromage</t>
  </si>
  <si>
    <t>R1701</t>
  </si>
  <si>
    <t>sauce fromagère</t>
  </si>
  <si>
    <t>sauce fromagere</t>
  </si>
  <si>
    <t>R1702</t>
  </si>
  <si>
    <t>sbrinz</t>
  </si>
  <si>
    <t>R1703</t>
  </si>
  <si>
    <t>scamorza</t>
  </si>
  <si>
    <t>R1704</t>
  </si>
  <si>
    <t>sélection de fromages</t>
  </si>
  <si>
    <t>selection de fromages</t>
  </si>
  <si>
    <t>R1705</t>
  </si>
  <si>
    <t>selles-sur-cher</t>
  </si>
  <si>
    <t>selles sur cher</t>
  </si>
  <si>
    <t>R1706</t>
  </si>
  <si>
    <t>serra da estrela</t>
  </si>
  <si>
    <t>R1707</t>
  </si>
  <si>
    <t>skyr</t>
  </si>
  <si>
    <t>R1708</t>
  </si>
  <si>
    <t>smoothie lacté</t>
  </si>
  <si>
    <t>smoothie lacte</t>
  </si>
  <si>
    <t>R1709</t>
  </si>
  <si>
    <t>solides du lait</t>
  </si>
  <si>
    <t>R1710</t>
  </si>
  <si>
    <t>soumaintrain</t>
  </si>
  <si>
    <t>R1711</t>
  </si>
  <si>
    <t>sour cream</t>
  </si>
  <si>
    <t>R1712</t>
  </si>
  <si>
    <t>stilton</t>
  </si>
  <si>
    <t>R1713</t>
  </si>
  <si>
    <t>stracchino</t>
  </si>
  <si>
    <t>R1714</t>
  </si>
  <si>
    <t>stracciatella</t>
  </si>
  <si>
    <t>R1715</t>
  </si>
  <si>
    <t>sulguni</t>
  </si>
  <si>
    <t>R1716</t>
  </si>
  <si>
    <t>taleggio</t>
  </si>
  <si>
    <t>R1717</t>
  </si>
  <si>
    <t>tartare fromage</t>
  </si>
  <si>
    <t>R1718</t>
  </si>
  <si>
    <t>tête de moine</t>
  </si>
  <si>
    <t>tete de moine</t>
  </si>
  <si>
    <t>R1719</t>
  </si>
  <si>
    <t>tetilla</t>
  </si>
  <si>
    <t>R1720</t>
  </si>
  <si>
    <t>tome</t>
  </si>
  <si>
    <t>R1721</t>
  </si>
  <si>
    <t>tome des bauges</t>
  </si>
  <si>
    <t>R1722</t>
  </si>
  <si>
    <t>tomme</t>
  </si>
  <si>
    <t>R1723</t>
  </si>
  <si>
    <t>tomme de savoie</t>
  </si>
  <si>
    <t>R1724</t>
  </si>
  <si>
    <t>vache qui rit</t>
  </si>
  <si>
    <t>R1725</t>
  </si>
  <si>
    <t>vacherin fribourgeois</t>
  </si>
  <si>
    <t>R1726</t>
  </si>
  <si>
    <t>vacherin mont d'or</t>
  </si>
  <si>
    <t>vacherin mont d or</t>
  </si>
  <si>
    <t>R1727</t>
  </si>
  <si>
    <t>valençay</t>
  </si>
  <si>
    <t>valencay</t>
  </si>
  <si>
    <t>R1728</t>
  </si>
  <si>
    <t>vieux pané</t>
  </si>
  <si>
    <t>vieux pane</t>
  </si>
  <si>
    <t>R1729</t>
  </si>
  <si>
    <t>wensleydale</t>
  </si>
  <si>
    <t>R1730</t>
  </si>
  <si>
    <t>whey</t>
  </si>
  <si>
    <t>R1731</t>
  </si>
  <si>
    <t>whey protein</t>
  </si>
  <si>
    <t>R1732</t>
  </si>
  <si>
    <t>whipping cream</t>
  </si>
  <si>
    <t>R1733</t>
  </si>
  <si>
    <t>yaourt</t>
  </si>
  <si>
    <t>R1734</t>
  </si>
  <si>
    <t>yaourt glacé</t>
  </si>
  <si>
    <t>yaourt glace</t>
  </si>
  <si>
    <t>R1735</t>
  </si>
  <si>
    <t>yaourt grec</t>
  </si>
  <si>
    <t>R1736</t>
  </si>
  <si>
    <t>yoghourt</t>
  </si>
  <si>
    <t>R1737</t>
  </si>
  <si>
    <t>yoghurt</t>
  </si>
  <si>
    <t>R1738</t>
  </si>
  <si>
    <t>yogourt</t>
  </si>
  <si>
    <t>R1739</t>
  </si>
  <si>
    <t>yogourt grec</t>
  </si>
  <si>
    <t>R1740</t>
  </si>
  <si>
    <t>yogurt</t>
  </si>
  <si>
    <t>R1741</t>
  </si>
  <si>
    <t>almond butter</t>
  </si>
  <si>
    <t>R1742</t>
  </si>
  <si>
    <t>almond milk</t>
  </si>
  <si>
    <t>R1743</t>
  </si>
  <si>
    <t>alternative végétale au fromage</t>
  </si>
  <si>
    <t>alternative vegetale au fromage</t>
  </si>
  <si>
    <t>Expression végétale ou non laitière neutralisant un faux positif.</t>
  </si>
  <si>
    <t>R1744</t>
  </si>
  <si>
    <t>beurre d amande</t>
  </si>
  <si>
    <t>Évite un faux positif.</t>
  </si>
  <si>
    <t>R1745</t>
  </si>
  <si>
    <t>R1746</t>
  </si>
  <si>
    <t>R1747</t>
  </si>
  <si>
    <t>beurre de cacao</t>
  </si>
  <si>
    <t>R1748</t>
  </si>
  <si>
    <t>beurre de cajou</t>
  </si>
  <si>
    <t>R1749</t>
  </si>
  <si>
    <t>beurre de coco</t>
  </si>
  <si>
    <t>R1750</t>
  </si>
  <si>
    <t>beurre de karité</t>
  </si>
  <si>
    <t>beurre de karite</t>
  </si>
  <si>
    <t>R1751</t>
  </si>
  <si>
    <t>beurre de noisette</t>
  </si>
  <si>
    <t>R1752</t>
  </si>
  <si>
    <t>boisson végétale</t>
  </si>
  <si>
    <t>boisson vegetale</t>
  </si>
  <si>
    <t>R1753</t>
  </si>
  <si>
    <t>cashew butter</t>
  </si>
  <si>
    <t>R1754</t>
  </si>
  <si>
    <t>cashew milk</t>
  </si>
  <si>
    <t>R1755</t>
  </si>
  <si>
    <t>cheddar vegan</t>
  </si>
  <si>
    <t>R1756</t>
  </si>
  <si>
    <t>cocoa butter</t>
  </si>
  <si>
    <t>R1757</t>
  </si>
  <si>
    <t>coconut cream</t>
  </si>
  <si>
    <t>R1758</t>
  </si>
  <si>
    <t>coconut milk</t>
  </si>
  <si>
    <t>R1759</t>
  </si>
  <si>
    <t>crème d'amande</t>
  </si>
  <si>
    <t>creme d amande</t>
  </si>
  <si>
    <t>R1760</t>
  </si>
  <si>
    <t>crème d'avoine</t>
  </si>
  <si>
    <t>creme d avoine</t>
  </si>
  <si>
    <t>R1761</t>
  </si>
  <si>
    <t>crème de cacao</t>
  </si>
  <si>
    <t>creme de cacao</t>
  </si>
  <si>
    <t>R1762</t>
  </si>
  <si>
    <t>crème de cajou</t>
  </si>
  <si>
    <t>creme de cajou</t>
  </si>
  <si>
    <t>R1763</t>
  </si>
  <si>
    <t>crème de cassis</t>
  </si>
  <si>
    <t>creme de cassis</t>
  </si>
  <si>
    <t>R1764</t>
  </si>
  <si>
    <t>crème de coco</t>
  </si>
  <si>
    <t>creme de coco</t>
  </si>
  <si>
    <t>R1765</t>
  </si>
  <si>
    <t>crème de marrons</t>
  </si>
  <si>
    <t>creme de marrons</t>
  </si>
  <si>
    <t>R1766</t>
  </si>
  <si>
    <t>crème de menthe</t>
  </si>
  <si>
    <t>creme de menthe</t>
  </si>
  <si>
    <t>R1767</t>
  </si>
  <si>
    <t>crème de riz</t>
  </si>
  <si>
    <t>creme de riz</t>
  </si>
  <si>
    <t>R1768</t>
  </si>
  <si>
    <t>Cuisine/Glacier/Bar</t>
  </si>
  <si>
    <t>Boisson ou crème végétale : ne doit pas déclencher l’allergène lait.</t>
  </si>
  <si>
    <t>R1769</t>
  </si>
  <si>
    <t>crème végétale</t>
  </si>
  <si>
    <t>creme vegetale</t>
  </si>
  <si>
    <t>R1770</t>
  </si>
  <si>
    <t>fauxmage</t>
  </si>
  <si>
    <t>R1771</t>
  </si>
  <si>
    <t>fromage de tête</t>
  </si>
  <si>
    <t>fromage de tete</t>
  </si>
  <si>
    <t>R1772</t>
  </si>
  <si>
    <t>fromage vegan</t>
  </si>
  <si>
    <t>R1773</t>
  </si>
  <si>
    <t>fromage végétal</t>
  </si>
  <si>
    <t>fromage vegetal</t>
  </si>
  <si>
    <t>R1774</t>
  </si>
  <si>
    <t>lait d amande</t>
  </si>
  <si>
    <t>R1775</t>
  </si>
  <si>
    <t>lait d avoine</t>
  </si>
  <si>
    <t>R1776</t>
  </si>
  <si>
    <t>lait de cajou</t>
  </si>
  <si>
    <t>R1777</t>
  </si>
  <si>
    <t>lait de chanvre</t>
  </si>
  <si>
    <t>R1778</t>
  </si>
  <si>
    <t>lait de coco</t>
  </si>
  <si>
    <t>R1779</t>
  </si>
  <si>
    <t>lait de noisette</t>
  </si>
  <si>
    <t>R1780</t>
  </si>
  <si>
    <t>lait de quinoa</t>
  </si>
  <si>
    <t>R1781</t>
  </si>
  <si>
    <t>lait de riz</t>
  </si>
  <si>
    <t>R1782</t>
  </si>
  <si>
    <t>R1783</t>
  </si>
  <si>
    <t>lait végétal</t>
  </si>
  <si>
    <t>lait vegetal</t>
  </si>
  <si>
    <t>R1784</t>
  </si>
  <si>
    <t>mozzarella végétale</t>
  </si>
  <si>
    <t>mozzarella vegetale</t>
  </si>
  <si>
    <t>R1785</t>
  </si>
  <si>
    <t>oat milk</t>
  </si>
  <si>
    <t>R1786</t>
  </si>
  <si>
    <t>parmesan vegan</t>
  </si>
  <si>
    <t>R1787</t>
  </si>
  <si>
    <t>parmesan végétal</t>
  </si>
  <si>
    <t>parmesan vegetal</t>
  </si>
  <si>
    <t>R1788</t>
  </si>
  <si>
    <t>R1789</t>
  </si>
  <si>
    <t>rice milk</t>
  </si>
  <si>
    <t>R1790</t>
  </si>
  <si>
    <t>R1791</t>
  </si>
  <si>
    <t>alfredo</t>
  </si>
  <si>
    <t>Produit composé généralement laitier : contrôler recette et fiche fournisseur.</t>
  </si>
  <si>
    <t>R1792</t>
  </si>
  <si>
    <t>aligot</t>
  </si>
  <si>
    <t>R1793</t>
  </si>
  <si>
    <t>R1794</t>
  </si>
  <si>
    <t>bavarois</t>
  </si>
  <si>
    <t>R1795</t>
  </si>
  <si>
    <t>béchamel</t>
  </si>
  <si>
    <t>bechamel</t>
  </si>
  <si>
    <t>R1796</t>
  </si>
  <si>
    <t>R1797</t>
  </si>
  <si>
    <t>R1798</t>
  </si>
  <si>
    <t>R1799</t>
  </si>
  <si>
    <t>R1800</t>
  </si>
  <si>
    <t>R1801</t>
  </si>
  <si>
    <t>R1802</t>
  </si>
  <si>
    <t>cheesecake</t>
  </si>
  <si>
    <t>R1803</t>
  </si>
  <si>
    <t>chocolat chaud</t>
  </si>
  <si>
    <t>R1804</t>
  </si>
  <si>
    <t>clafoutis</t>
  </si>
  <si>
    <t>R1805</t>
  </si>
  <si>
    <t>cocktail crémeux</t>
  </si>
  <si>
    <t>cocktail cremeux</t>
  </si>
  <si>
    <t>R1806</t>
  </si>
  <si>
    <t>R1807</t>
  </si>
  <si>
    <t>R1808</t>
  </si>
  <si>
    <t>R1809</t>
  </si>
  <si>
    <t>R1810</t>
  </si>
  <si>
    <t>R1811</t>
  </si>
  <si>
    <t>crème dessert</t>
  </si>
  <si>
    <t>creme dessert</t>
  </si>
  <si>
    <t>R1812</t>
  </si>
  <si>
    <t>crème diplomate</t>
  </si>
  <si>
    <t>creme diplomate</t>
  </si>
  <si>
    <t>R1813</t>
  </si>
  <si>
    <t>crème mousseline</t>
  </si>
  <si>
    <t>creme mousseline</t>
  </si>
  <si>
    <t>R1814</t>
  </si>
  <si>
    <t>R1815</t>
  </si>
  <si>
    <t>R1816</t>
  </si>
  <si>
    <t>croque-monsieur</t>
  </si>
  <si>
    <t>croque monsieur</t>
  </si>
  <si>
    <t>R1817</t>
  </si>
  <si>
    <t>croziflette</t>
  </si>
  <si>
    <t>R1818</t>
  </si>
  <si>
    <t>entremets</t>
  </si>
  <si>
    <t>R1819</t>
  </si>
  <si>
    <t>espresso martini crémeux</t>
  </si>
  <si>
    <t>espresso martini cremeux</t>
  </si>
  <si>
    <t>R1820</t>
  </si>
  <si>
    <t>far breton</t>
  </si>
  <si>
    <t>R1821</t>
  </si>
  <si>
    <t>R1822</t>
  </si>
  <si>
    <t>flan pâtissier</t>
  </si>
  <si>
    <t>flan patissier</t>
  </si>
  <si>
    <t>R1823</t>
  </si>
  <si>
    <t>fondue au fromage</t>
  </si>
  <si>
    <t>R1824</t>
  </si>
  <si>
    <t>fondue savoyarde</t>
  </si>
  <si>
    <t>R1825</t>
  </si>
  <si>
    <t>R1826</t>
  </si>
  <si>
    <t>R1827</t>
  </si>
  <si>
    <t>glace artisanale</t>
  </si>
  <si>
    <t>R1828</t>
  </si>
  <si>
    <t>glace italienne</t>
  </si>
  <si>
    <t>R1829</t>
  </si>
  <si>
    <t>gratin</t>
  </si>
  <si>
    <t>R1830</t>
  </si>
  <si>
    <t>gratin dauphinois</t>
  </si>
  <si>
    <t>R1831</t>
  </si>
  <si>
    <t>gratin de pommes de terre</t>
  </si>
  <si>
    <t>R1832</t>
  </si>
  <si>
    <t>irish coffee</t>
  </si>
  <si>
    <t>R1833</t>
  </si>
  <si>
    <t>liqueur à la crème</t>
  </si>
  <si>
    <t>liqueur a la creme</t>
  </si>
  <si>
    <t>R1834</t>
  </si>
  <si>
    <t>R1835</t>
  </si>
  <si>
    <t>R1836</t>
  </si>
  <si>
    <t>mousse au chocolat</t>
  </si>
  <si>
    <t>R1837</t>
  </si>
  <si>
    <t>mousseline de poisson</t>
  </si>
  <si>
    <t>R1838</t>
  </si>
  <si>
    <t>pain au lait</t>
  </si>
  <si>
    <t>R1839</t>
  </si>
  <si>
    <t>panna cotta</t>
  </si>
  <si>
    <t>R1840</t>
  </si>
  <si>
    <t>pâté en croûte</t>
  </si>
  <si>
    <t>pate en croute</t>
  </si>
  <si>
    <t>R1841</t>
  </si>
  <si>
    <t>pesto</t>
  </si>
  <si>
    <t>R1842</t>
  </si>
  <si>
    <t>piña colada</t>
  </si>
  <si>
    <t>pina colada</t>
  </si>
  <si>
    <t>R1843</t>
  </si>
  <si>
    <t>pommes dauphine</t>
  </si>
  <si>
    <t>R1844</t>
  </si>
  <si>
    <t>pommes duchesse</t>
  </si>
  <si>
    <t>R1845</t>
  </si>
  <si>
    <t>purée</t>
  </si>
  <si>
    <t>puree</t>
  </si>
  <si>
    <t>R1846</t>
  </si>
  <si>
    <t>purée instantanée</t>
  </si>
  <si>
    <t>puree instantanee</t>
  </si>
  <si>
    <t>R1847</t>
  </si>
  <si>
    <t>purée maison</t>
  </si>
  <si>
    <t>puree maison</t>
  </si>
  <si>
    <t>R1848</t>
  </si>
  <si>
    <t>R1849</t>
  </si>
  <si>
    <t>R1850</t>
  </si>
  <si>
    <t>raclette savoyarde</t>
  </si>
  <si>
    <t>R1851</t>
  </si>
  <si>
    <t>risotto crémeux</t>
  </si>
  <si>
    <t>risotto cremeux</t>
  </si>
  <si>
    <t>R1852</t>
  </si>
  <si>
    <t>riz au lait</t>
  </si>
  <si>
    <t>R1853</t>
  </si>
  <si>
    <t>R1854</t>
  </si>
  <si>
    <t>sauce blanche</t>
  </si>
  <si>
    <t>R1855</t>
  </si>
  <si>
    <t>sauce mornay</t>
  </si>
  <si>
    <t>R1856</t>
  </si>
  <si>
    <t>sauce pesto</t>
  </si>
  <si>
    <t>R1857</t>
  </si>
  <si>
    <t>sauce suprême</t>
  </si>
  <si>
    <t>sauce supreme</t>
  </si>
  <si>
    <t>R1858</t>
  </si>
  <si>
    <t>R1859</t>
  </si>
  <si>
    <t>semoule au lait</t>
  </si>
  <si>
    <t>R1860</t>
  </si>
  <si>
    <t>smoothie</t>
  </si>
  <si>
    <t>R1861</t>
  </si>
  <si>
    <t>soft serve</t>
  </si>
  <si>
    <t>R1862</t>
  </si>
  <si>
    <t>R1863</t>
  </si>
  <si>
    <t>sundae</t>
  </si>
  <si>
    <t>R1864</t>
  </si>
  <si>
    <t>tartiflette</t>
  </si>
  <si>
    <t>R1865</t>
  </si>
  <si>
    <t>R1866</t>
  </si>
  <si>
    <t>R1867</t>
  </si>
  <si>
    <t>truffade</t>
  </si>
  <si>
    <t>R1868</t>
  </si>
  <si>
    <t>velouté</t>
  </si>
  <si>
    <t>veloute</t>
  </si>
  <si>
    <t>R1869</t>
  </si>
  <si>
    <t>R1870</t>
  </si>
  <si>
    <t>white russian</t>
  </si>
  <si>
    <t>R1871</t>
  </si>
  <si>
    <t>R1872</t>
  </si>
  <si>
    <t>R1873</t>
  </si>
  <si>
    <t>R1874</t>
  </si>
  <si>
    <t>R1875</t>
  </si>
  <si>
    <t>R1876</t>
  </si>
  <si>
    <t>R1877</t>
  </si>
  <si>
    <t>R1878</t>
  </si>
  <si>
    <t>R1879</t>
  </si>
  <si>
    <t>R1880</t>
  </si>
  <si>
    <t>almond</t>
  </si>
  <si>
    <t>R1881</t>
  </si>
  <si>
    <t>almonds</t>
  </si>
  <si>
    <t>R1882</t>
  </si>
  <si>
    <t>amande</t>
  </si>
  <si>
    <t>Fruit à coque réglementaire ou dérivé.</t>
  </si>
  <si>
    <t>R1883</t>
  </si>
  <si>
    <t>amandes</t>
  </si>
  <si>
    <t>R1884</t>
  </si>
  <si>
    <t>baklava</t>
  </si>
  <si>
    <t>R1885</t>
  </si>
  <si>
    <t>baklawa</t>
  </si>
  <si>
    <t>R1886</t>
  </si>
  <si>
    <t>brazil nut</t>
  </si>
  <si>
    <t>R1887</t>
  </si>
  <si>
    <t>brazil nuts</t>
  </si>
  <si>
    <t>R1888</t>
  </si>
  <si>
    <t>cajou</t>
  </si>
  <si>
    <t>R1889</t>
  </si>
  <si>
    <t>cajous</t>
  </si>
  <si>
    <t>R1890</t>
  </si>
  <si>
    <t>cashew</t>
  </si>
  <si>
    <t>R1891</t>
  </si>
  <si>
    <t>cashews</t>
  </si>
  <si>
    <t>R1892</t>
  </si>
  <si>
    <t>cerneau de noix</t>
  </si>
  <si>
    <t>R1893</t>
  </si>
  <si>
    <t>cerneaux de noix</t>
  </si>
  <si>
    <t>R1894</t>
  </si>
  <si>
    <t>R1895</t>
  </si>
  <si>
    <t>farine de noisette</t>
  </si>
  <si>
    <t>R1896</t>
  </si>
  <si>
    <t>frangipane</t>
  </si>
  <si>
    <t>R1897</t>
  </si>
  <si>
    <t>gianduja</t>
  </si>
  <si>
    <t>R1898</t>
  </si>
  <si>
    <t>hazelnut</t>
  </si>
  <si>
    <t>R1899</t>
  </si>
  <si>
    <t>hazelnuts</t>
  </si>
  <si>
    <t>R1900</t>
  </si>
  <si>
    <t>huile de noix</t>
  </si>
  <si>
    <t>R1901</t>
  </si>
  <si>
    <t>huile de pistache</t>
  </si>
  <si>
    <t>R1902</t>
  </si>
  <si>
    <t>R1903</t>
  </si>
  <si>
    <t>R1904</t>
  </si>
  <si>
    <t>macadamia</t>
  </si>
  <si>
    <t>R1905</t>
  </si>
  <si>
    <t>macadamia nut</t>
  </si>
  <si>
    <t>R1906</t>
  </si>
  <si>
    <t>macadamia nuts</t>
  </si>
  <si>
    <t>R1907</t>
  </si>
  <si>
    <t>marzipan</t>
  </si>
  <si>
    <t>R1908</t>
  </si>
  <si>
    <t>massepain</t>
  </si>
  <si>
    <t>R1909</t>
  </si>
  <si>
    <t>noisette</t>
  </si>
  <si>
    <t>R1910</t>
  </si>
  <si>
    <t>noisettes</t>
  </si>
  <si>
    <t>R1911</t>
  </si>
  <si>
    <t>noix</t>
  </si>
  <si>
    <t>R1912</t>
  </si>
  <si>
    <t>noix de cajou</t>
  </si>
  <si>
    <t>R1913</t>
  </si>
  <si>
    <t>noix de macadamia</t>
  </si>
  <si>
    <t>R1914</t>
  </si>
  <si>
    <t>noix de pécan</t>
  </si>
  <si>
    <t>noix de pecan</t>
  </si>
  <si>
    <t>R1915</t>
  </si>
  <si>
    <t>noix du brésil</t>
  </si>
  <si>
    <t>noix du bresil</t>
  </si>
  <si>
    <t>R1916</t>
  </si>
  <si>
    <t>noix du queensland</t>
  </si>
  <si>
    <t>R1917</t>
  </si>
  <si>
    <t>nougat</t>
  </si>
  <si>
    <t>R1918</t>
  </si>
  <si>
    <t>nougatine</t>
  </si>
  <si>
    <t>R1919</t>
  </si>
  <si>
    <t>pacane</t>
  </si>
  <si>
    <t>R1920</t>
  </si>
  <si>
    <t>pâte d amande</t>
  </si>
  <si>
    <t>pate d amande</t>
  </si>
  <si>
    <t>R1921</t>
  </si>
  <si>
    <t>pâte de pistache</t>
  </si>
  <si>
    <t>pate de pistache</t>
  </si>
  <si>
    <t>R1922</t>
  </si>
  <si>
    <t>pécan</t>
  </si>
  <si>
    <t>pecan</t>
  </si>
  <si>
    <t>R1923</t>
  </si>
  <si>
    <t>pecans</t>
  </si>
  <si>
    <t>R1924</t>
  </si>
  <si>
    <t>pistache</t>
  </si>
  <si>
    <t>R1925</t>
  </si>
  <si>
    <t>pistaches</t>
  </si>
  <si>
    <t>R1926</t>
  </si>
  <si>
    <t>pistachio</t>
  </si>
  <si>
    <t>R1927</t>
  </si>
  <si>
    <t>pistachios</t>
  </si>
  <si>
    <t>R1928</t>
  </si>
  <si>
    <t>poudre d amande</t>
  </si>
  <si>
    <t>R1929</t>
  </si>
  <si>
    <t>poudre de noisette</t>
  </si>
  <si>
    <t>R1930</t>
  </si>
  <si>
    <t>poudre de pistache</t>
  </si>
  <si>
    <t>R1931</t>
  </si>
  <si>
    <t>pralin</t>
  </si>
  <si>
    <t>R1932</t>
  </si>
  <si>
    <t>praliné</t>
  </si>
  <si>
    <t>praline</t>
  </si>
  <si>
    <t>R1933</t>
  </si>
  <si>
    <t>purée d amande</t>
  </si>
  <si>
    <t>puree d amande</t>
  </si>
  <si>
    <t>R1934</t>
  </si>
  <si>
    <t>purée de cajou</t>
  </si>
  <si>
    <t>puree de cajou</t>
  </si>
  <si>
    <t>R1935</t>
  </si>
  <si>
    <t>purée de noisette</t>
  </si>
  <si>
    <t>puree de noisette</t>
  </si>
  <si>
    <t>R1936</t>
  </si>
  <si>
    <t>walnut</t>
  </si>
  <si>
    <t>R1937</t>
  </si>
  <si>
    <t>walnuts</t>
  </si>
  <si>
    <t>R1938</t>
  </si>
  <si>
    <t>amande de mer</t>
  </si>
  <si>
    <t>R1939</t>
  </si>
  <si>
    <t>amandes de mer</t>
  </si>
  <si>
    <t>R1940</t>
  </si>
  <si>
    <t>châtaigne</t>
  </si>
  <si>
    <t>chataigne</t>
  </si>
  <si>
    <t>R1941</t>
  </si>
  <si>
    <t>châtaignes</t>
  </si>
  <si>
    <t>chataignes</t>
  </si>
  <si>
    <t>R1942</t>
  </si>
  <si>
    <t>R1943</t>
  </si>
  <si>
    <t>eau de coco</t>
  </si>
  <si>
    <t>R1944</t>
  </si>
  <si>
    <t>graine de pin</t>
  </si>
  <si>
    <t>R1945</t>
  </si>
  <si>
    <t>huile de coco</t>
  </si>
  <si>
    <t>R1946</t>
  </si>
  <si>
    <t>R1947</t>
  </si>
  <si>
    <t>marron</t>
  </si>
  <si>
    <t>R1948</t>
  </si>
  <si>
    <t>marrons</t>
  </si>
  <si>
    <t>R1949</t>
  </si>
  <si>
    <t>muscade</t>
  </si>
  <si>
    <t>R1950</t>
  </si>
  <si>
    <t>noix de bœuf</t>
  </si>
  <si>
    <t>noix de boeuf</t>
  </si>
  <si>
    <t>R1951</t>
  </si>
  <si>
    <t>noix de coco</t>
  </si>
  <si>
    <t>R1952</t>
  </si>
  <si>
    <t>noix de joue</t>
  </si>
  <si>
    <t>R1953</t>
  </si>
  <si>
    <t>noix de kola</t>
  </si>
  <si>
    <t>R1954</t>
  </si>
  <si>
    <t>noix de muscade</t>
  </si>
  <si>
    <t>R1955</t>
  </si>
  <si>
    <t>noix de saint jacques</t>
  </si>
  <si>
    <t>R1956</t>
  </si>
  <si>
    <t>noix de st jacques</t>
  </si>
  <si>
    <t>R1957</t>
  </si>
  <si>
    <t>noix de veau</t>
  </si>
  <si>
    <t>R1958</t>
  </si>
  <si>
    <t>pignon</t>
  </si>
  <si>
    <t>R1959</t>
  </si>
  <si>
    <t>pignon de pin</t>
  </si>
  <si>
    <t>R1960</t>
  </si>
  <si>
    <t>pignons</t>
  </si>
  <si>
    <t>R1961</t>
  </si>
  <si>
    <t>amaretto</t>
  </si>
  <si>
    <t>R1962</t>
  </si>
  <si>
    <t>chocolat fourré</t>
  </si>
  <si>
    <t>chocolat fourre</t>
  </si>
  <si>
    <t>R1963</t>
  </si>
  <si>
    <t>falernum</t>
  </si>
  <si>
    <t>R1964</t>
  </si>
  <si>
    <t>R1965</t>
  </si>
  <si>
    <t>R1966</t>
  </si>
  <si>
    <t>frangelico</t>
  </si>
  <si>
    <t>R1967</t>
  </si>
  <si>
    <t>glace pralinée</t>
  </si>
  <si>
    <t>glace pralinee</t>
  </si>
  <si>
    <t>R1968</t>
  </si>
  <si>
    <t>granola</t>
  </si>
  <si>
    <t>R1969</t>
  </si>
  <si>
    <t>macaron</t>
  </si>
  <si>
    <t>R1970</t>
  </si>
  <si>
    <t>macarons</t>
  </si>
  <si>
    <t>R1971</t>
  </si>
  <si>
    <t>muesli</t>
  </si>
  <si>
    <t>R1972</t>
  </si>
  <si>
    <t>nocino</t>
  </si>
  <si>
    <t>R1973</t>
  </si>
  <si>
    <t>nougat glacé</t>
  </si>
  <si>
    <t>nougat glace</t>
  </si>
  <si>
    <t>R1974</t>
  </si>
  <si>
    <t>orgeat</t>
  </si>
  <si>
    <t>R1975</t>
  </si>
  <si>
    <t>R1976</t>
  </si>
  <si>
    <t>pistou</t>
  </si>
  <si>
    <t>R1977</t>
  </si>
  <si>
    <t>praliné feuilleté</t>
  </si>
  <si>
    <t>praline feuillete</t>
  </si>
  <si>
    <t>R1978</t>
  </si>
  <si>
    <t>céleri</t>
  </si>
  <si>
    <t>celeri</t>
  </si>
  <si>
    <t>Céleri ou dérivé.</t>
  </si>
  <si>
    <t>R1979</t>
  </si>
  <si>
    <t>céleri branche</t>
  </si>
  <si>
    <t>celeri branche</t>
  </si>
  <si>
    <t>R1980</t>
  </si>
  <si>
    <t>céleri rave</t>
  </si>
  <si>
    <t>celeri rave</t>
  </si>
  <si>
    <t>R1981</t>
  </si>
  <si>
    <t>celeriac</t>
  </si>
  <si>
    <t>R1982</t>
  </si>
  <si>
    <t>celery</t>
  </si>
  <si>
    <t>R1983</t>
  </si>
  <si>
    <t>extrait de céleri</t>
  </si>
  <si>
    <t>extrait de celeri</t>
  </si>
  <si>
    <t>R1984</t>
  </si>
  <si>
    <t>feuille de céleri</t>
  </si>
  <si>
    <t>feuille de celeri</t>
  </si>
  <si>
    <t>R1985</t>
  </si>
  <si>
    <t>feuilles de céleri</t>
  </si>
  <si>
    <t>feuilles de celeri</t>
  </si>
  <si>
    <t>R1986</t>
  </si>
  <si>
    <t>graine de céleri</t>
  </si>
  <si>
    <t>graine de celeri</t>
  </si>
  <si>
    <t>R1987</t>
  </si>
  <si>
    <t>graines de céleri</t>
  </si>
  <si>
    <t>graines de celeri</t>
  </si>
  <si>
    <t>R1988</t>
  </si>
  <si>
    <t>huile essentielle de céleri</t>
  </si>
  <si>
    <t>huile essentielle de celeri</t>
  </si>
  <si>
    <t>R1989</t>
  </si>
  <si>
    <t>jus de céleri</t>
  </si>
  <si>
    <t>jus de celeri</t>
  </si>
  <si>
    <t>R1990</t>
  </si>
  <si>
    <t>poudre de céleri</t>
  </si>
  <si>
    <t>poudre de celeri</t>
  </si>
  <si>
    <t>R1991</t>
  </si>
  <si>
    <t>sel de céleri</t>
  </si>
  <si>
    <t>sel de celeri</t>
  </si>
  <si>
    <t>R1992</t>
  </si>
  <si>
    <t>R1993</t>
  </si>
  <si>
    <t>bouillon de légumes</t>
  </si>
  <si>
    <t>bouillon de legumes</t>
  </si>
  <si>
    <t>R1994</t>
  </si>
  <si>
    <t>R1995</t>
  </si>
  <si>
    <t>court bouillon</t>
  </si>
  <si>
    <t>R1996</t>
  </si>
  <si>
    <t>R1997</t>
  </si>
  <si>
    <t>R1998</t>
  </si>
  <si>
    <t>fond de veau</t>
  </si>
  <si>
    <t>R1999</t>
  </si>
  <si>
    <t>jus de légumes</t>
  </si>
  <si>
    <t>jus de legumes</t>
  </si>
  <si>
    <t>R2000</t>
  </si>
  <si>
    <t>mirepoix</t>
  </si>
  <si>
    <t>R2001</t>
  </si>
  <si>
    <t>R2002</t>
  </si>
  <si>
    <t>potage industriel</t>
  </si>
  <si>
    <t>R2003</t>
  </si>
  <si>
    <t>R2004</t>
  </si>
  <si>
    <t>sel aromatisé</t>
  </si>
  <si>
    <t>sel aromatise</t>
  </si>
  <si>
    <t>R2005</t>
  </si>
  <si>
    <t>soupe industrielle</t>
  </si>
  <si>
    <t>R2006</t>
  </si>
  <si>
    <t>R2007</t>
  </si>
  <si>
    <t>extrait de moutarde</t>
  </si>
  <si>
    <t>Moutarde ou dérivé.</t>
  </si>
  <si>
    <t>R2008</t>
  </si>
  <si>
    <t>farine de moutarde</t>
  </si>
  <si>
    <t>R2009</t>
  </si>
  <si>
    <t>graine de moutarde</t>
  </si>
  <si>
    <t>R2010</t>
  </si>
  <si>
    <t>graines de moutarde</t>
  </si>
  <si>
    <t>R2011</t>
  </si>
  <si>
    <t>huile de moutarde</t>
  </si>
  <si>
    <t>R2012</t>
  </si>
  <si>
    <t>mayonnaise moutardée</t>
  </si>
  <si>
    <t>mayonnaise moutardee</t>
  </si>
  <si>
    <t>R2013</t>
  </si>
  <si>
    <t>moutarde</t>
  </si>
  <si>
    <t>R2014</t>
  </si>
  <si>
    <t>moutarde à l ancienne</t>
  </si>
  <si>
    <t>moutarde a l ancienne</t>
  </si>
  <si>
    <t>R2015</t>
  </si>
  <si>
    <t>moutarde de dijon</t>
  </si>
  <si>
    <t>R2016</t>
  </si>
  <si>
    <t>moutarde en grains</t>
  </si>
  <si>
    <t>R2017</t>
  </si>
  <si>
    <t>moutarde en poudre</t>
  </si>
  <si>
    <t>R2018</t>
  </si>
  <si>
    <t>moutardes</t>
  </si>
  <si>
    <t>R2019</t>
  </si>
  <si>
    <t>mustard</t>
  </si>
  <si>
    <t>R2020</t>
  </si>
  <si>
    <t>mustard seed</t>
  </si>
  <si>
    <t>R2021</t>
  </si>
  <si>
    <t>mustard seeds</t>
  </si>
  <si>
    <t>R2022</t>
  </si>
  <si>
    <t>sauce moutarde</t>
  </si>
  <si>
    <t>R2023</t>
  </si>
  <si>
    <t>savora</t>
  </si>
  <si>
    <t>R2024</t>
  </si>
  <si>
    <t>vinaigrette moutardée</t>
  </si>
  <si>
    <t>vinaigrette moutardee</t>
  </si>
  <si>
    <t>R2025</t>
  </si>
  <si>
    <t>R2026</t>
  </si>
  <si>
    <t>cornichons aigres doux</t>
  </si>
  <si>
    <t>R2027</t>
  </si>
  <si>
    <t>marinade</t>
  </si>
  <si>
    <t>R2028</t>
  </si>
  <si>
    <t>R2029</t>
  </si>
  <si>
    <t>R2030</t>
  </si>
  <si>
    <t>pickles</t>
  </si>
  <si>
    <t>R2031</t>
  </si>
  <si>
    <t>sauce barbecue</t>
  </si>
  <si>
    <t>R2032</t>
  </si>
  <si>
    <t>sauce burger</t>
  </si>
  <si>
    <t>R2033</t>
  </si>
  <si>
    <t>R2034</t>
  </si>
  <si>
    <t>R2035</t>
  </si>
  <si>
    <t>R2036</t>
  </si>
  <si>
    <t>R2037</t>
  </si>
  <si>
    <t>R2038</t>
  </si>
  <si>
    <t>R2039</t>
  </si>
  <si>
    <t>vinaigrette</t>
  </si>
  <si>
    <t>R2040</t>
  </si>
  <si>
    <t>gomashio</t>
  </si>
  <si>
    <t>Sésame ou dérivé.</t>
  </si>
  <si>
    <t>R2041</t>
  </si>
  <si>
    <t>gomasio</t>
  </si>
  <si>
    <t>R2042</t>
  </si>
  <si>
    <t>graine de sésame</t>
  </si>
  <si>
    <t>graine de sesame</t>
  </si>
  <si>
    <t>R2043</t>
  </si>
  <si>
    <t>graines de sésame</t>
  </si>
  <si>
    <t>graines de sesame</t>
  </si>
  <si>
    <t>R2044</t>
  </si>
  <si>
    <t>halva</t>
  </si>
  <si>
    <t>R2045</t>
  </si>
  <si>
    <t>halvah</t>
  </si>
  <si>
    <t>R2046</t>
  </si>
  <si>
    <t>huile de sésame</t>
  </si>
  <si>
    <t>huile de sesame</t>
  </si>
  <si>
    <t>R2047</t>
  </si>
  <si>
    <t>nougat de sésame</t>
  </si>
  <si>
    <t>nougat de sesame</t>
  </si>
  <si>
    <t>R2048</t>
  </si>
  <si>
    <t>pâte de sésame</t>
  </si>
  <si>
    <t>pate de sesame</t>
  </si>
  <si>
    <t>R2049</t>
  </si>
  <si>
    <t>purée de sésame</t>
  </si>
  <si>
    <t>puree de sesame</t>
  </si>
  <si>
    <t>R2050</t>
  </si>
  <si>
    <t>sésame</t>
  </si>
  <si>
    <t>sesame</t>
  </si>
  <si>
    <t>R2051</t>
  </si>
  <si>
    <t>sésame blanc</t>
  </si>
  <si>
    <t>sesame blanc</t>
  </si>
  <si>
    <t>R2052</t>
  </si>
  <si>
    <t>sésame noir</t>
  </si>
  <si>
    <t>sesame noir</t>
  </si>
  <si>
    <t>R2053</t>
  </si>
  <si>
    <t>sesame oil</t>
  </si>
  <si>
    <t>R2054</t>
  </si>
  <si>
    <t>sesame seed</t>
  </si>
  <si>
    <t>R2055</t>
  </si>
  <si>
    <t>sesame seeds</t>
  </si>
  <si>
    <t>R2056</t>
  </si>
  <si>
    <t>tahin</t>
  </si>
  <si>
    <t>R2057</t>
  </si>
  <si>
    <t>tahina</t>
  </si>
  <si>
    <t>R2058</t>
  </si>
  <si>
    <t>tahini</t>
  </si>
  <si>
    <t>R2059</t>
  </si>
  <si>
    <t>barre céréalière</t>
  </si>
  <si>
    <t>barre cerealiere</t>
  </si>
  <si>
    <t>R2060</t>
  </si>
  <si>
    <t>bun</t>
  </si>
  <si>
    <t>R2061</t>
  </si>
  <si>
    <t>buns</t>
  </si>
  <si>
    <t>R2062</t>
  </si>
  <si>
    <t>R2063</t>
  </si>
  <si>
    <t>falafel</t>
  </si>
  <si>
    <t>R2064</t>
  </si>
  <si>
    <t>R2065</t>
  </si>
  <si>
    <t>houmous</t>
  </si>
  <si>
    <t>R2066</t>
  </si>
  <si>
    <t>hummus</t>
  </si>
  <si>
    <t>R2067</t>
  </si>
  <si>
    <t>R2068</t>
  </si>
  <si>
    <t>pain burger</t>
  </si>
  <si>
    <t>R2069</t>
  </si>
  <si>
    <t>pain libanais</t>
  </si>
  <si>
    <t>R2070</t>
  </si>
  <si>
    <t>pain oriental</t>
  </si>
  <si>
    <t>R2071</t>
  </si>
  <si>
    <t>R2072</t>
  </si>
  <si>
    <t>za atar</t>
  </si>
  <si>
    <t>R2073</t>
  </si>
  <si>
    <t>zaatar</t>
  </si>
  <si>
    <t>R2074</t>
  </si>
  <si>
    <t>acide sulfureux</t>
  </si>
  <si>
    <t>Sulfites explicitement déclarés.</t>
  </si>
  <si>
    <t>R2075</t>
  </si>
  <si>
    <t>anhydride sulfureux</t>
  </si>
  <si>
    <t>R2076</t>
  </si>
  <si>
    <t>bisulfite</t>
  </si>
  <si>
    <t>R2077</t>
  </si>
  <si>
    <t>dioxyde de soufre</t>
  </si>
  <si>
    <t>R2078</t>
  </si>
  <si>
    <t>E220</t>
  </si>
  <si>
    <t>e220</t>
  </si>
  <si>
    <t>R2079</t>
  </si>
  <si>
    <t>E221</t>
  </si>
  <si>
    <t>e221</t>
  </si>
  <si>
    <t>R2080</t>
  </si>
  <si>
    <t>E222</t>
  </si>
  <si>
    <t>e222</t>
  </si>
  <si>
    <t>R2081</t>
  </si>
  <si>
    <t>E223</t>
  </si>
  <si>
    <t>e223</t>
  </si>
  <si>
    <t>R2082</t>
  </si>
  <si>
    <t>E224</t>
  </si>
  <si>
    <t>e224</t>
  </si>
  <si>
    <t>R2083</t>
  </si>
  <si>
    <t>E225</t>
  </si>
  <si>
    <t>e225</t>
  </si>
  <si>
    <t>R2084</t>
  </si>
  <si>
    <t>E226</t>
  </si>
  <si>
    <t>e226</t>
  </si>
  <si>
    <t>R2085</t>
  </si>
  <si>
    <t>E227</t>
  </si>
  <si>
    <t>e227</t>
  </si>
  <si>
    <t>R2086</t>
  </si>
  <si>
    <t>E228</t>
  </si>
  <si>
    <t>e228</t>
  </si>
  <si>
    <t>R2087</t>
  </si>
  <si>
    <t>hydrogénosulfite</t>
  </si>
  <si>
    <t>hydrogenosulfite</t>
  </si>
  <si>
    <t>R2088</t>
  </si>
  <si>
    <t>métabisulfite</t>
  </si>
  <si>
    <t>metabisulfite</t>
  </si>
  <si>
    <t>R2089</t>
  </si>
  <si>
    <t>sulfite</t>
  </si>
  <si>
    <t>R2090</t>
  </si>
  <si>
    <t>sulfites</t>
  </si>
  <si>
    <t>R2091</t>
  </si>
  <si>
    <t>sulfur dioxide</t>
  </si>
  <si>
    <t>R2092</t>
  </si>
  <si>
    <t>sulphite</t>
  </si>
  <si>
    <t>R2093</t>
  </si>
  <si>
    <t>sulphites</t>
  </si>
  <si>
    <t>R2094</t>
  </si>
  <si>
    <t>sulphur dioxide</t>
  </si>
  <si>
    <t>R2095</t>
  </si>
  <si>
    <t>abricots secs</t>
  </si>
  <si>
    <t>Présence et seuil variables.</t>
  </si>
  <si>
    <t>R2096</t>
  </si>
  <si>
    <t>R2097</t>
  </si>
  <si>
    <t>cava</t>
  </si>
  <si>
    <t>R2098</t>
  </si>
  <si>
    <t>cerises confites</t>
  </si>
  <si>
    <t>R2099</t>
  </si>
  <si>
    <t>champagne</t>
  </si>
  <si>
    <t>R2100</t>
  </si>
  <si>
    <t>cidre</t>
  </si>
  <si>
    <t>R2101</t>
  </si>
  <si>
    <t>cocktail au vin</t>
  </si>
  <si>
    <t>R2102</t>
  </si>
  <si>
    <t>cocktail premix</t>
  </si>
  <si>
    <t>R2103</t>
  </si>
  <si>
    <t>crémant</t>
  </si>
  <si>
    <t>cremant</t>
  </si>
  <si>
    <t>R2104</t>
  </si>
  <si>
    <t>crevettes traitées</t>
  </si>
  <si>
    <t>crevettes traitees</t>
  </si>
  <si>
    <t>R2105</t>
  </si>
  <si>
    <t>figues sèches</t>
  </si>
  <si>
    <t>figues seches</t>
  </si>
  <si>
    <t>R2106</t>
  </si>
  <si>
    <t>fruits confits</t>
  </si>
  <si>
    <t>R2107</t>
  </si>
  <si>
    <t>fruits secs</t>
  </si>
  <si>
    <t>R2108</t>
  </si>
  <si>
    <t>jus de citron en bouteille</t>
  </si>
  <si>
    <t>R2109</t>
  </si>
  <si>
    <t>jus de lime en bouteille</t>
  </si>
  <si>
    <t>R2110</t>
  </si>
  <si>
    <t>kir</t>
  </si>
  <si>
    <t>R2111</t>
  </si>
  <si>
    <t>kir royal</t>
  </si>
  <si>
    <t>R2112</t>
  </si>
  <si>
    <t>madère</t>
  </si>
  <si>
    <t>madere</t>
  </si>
  <si>
    <t>R2113</t>
  </si>
  <si>
    <t>poiré</t>
  </si>
  <si>
    <t>zzzxq_poire_boisson_qxzzz</t>
  </si>
  <si>
    <t>Le mot « poiré » est contrôlé avec son accent dans une formule dédiée afin de ne pas confondre avec « poire ».</t>
  </si>
  <si>
    <t>R2114</t>
  </si>
  <si>
    <t>pommes de terre déshydratées</t>
  </si>
  <si>
    <t>pommes de terre deshydratees</t>
  </si>
  <si>
    <t>R2115</t>
  </si>
  <si>
    <t>porto</t>
  </si>
  <si>
    <t>R2116</t>
  </si>
  <si>
    <t>préparation cocktail</t>
  </si>
  <si>
    <t>preparation cocktail</t>
  </si>
  <si>
    <t>R2117</t>
  </si>
  <si>
    <t>prosecco</t>
  </si>
  <si>
    <t>R2118</t>
  </si>
  <si>
    <t>pruneaux</t>
  </si>
  <si>
    <t>R2119</t>
  </si>
  <si>
    <t>purée déshydratée</t>
  </si>
  <si>
    <t>puree deshydratee</t>
  </si>
  <si>
    <t>R2120</t>
  </si>
  <si>
    <t>raisins secs</t>
  </si>
  <si>
    <t>R2121</t>
  </si>
  <si>
    <t>sangria</t>
  </si>
  <si>
    <t>R2122</t>
  </si>
  <si>
    <t>sherry</t>
  </si>
  <si>
    <t>R2123</t>
  </si>
  <si>
    <t>sirop industriel</t>
  </si>
  <si>
    <t>R2124</t>
  </si>
  <si>
    <t>spritz</t>
  </si>
  <si>
    <t>R2125</t>
  </si>
  <si>
    <t>vermouth</t>
  </si>
  <si>
    <t>R2126</t>
  </si>
  <si>
    <t>vin</t>
  </si>
  <si>
    <t>R2127</t>
  </si>
  <si>
    <t>vin blanc</t>
  </si>
  <si>
    <t>R2128</t>
  </si>
  <si>
    <t>vin rosé</t>
  </si>
  <si>
    <t>vin rose</t>
  </si>
  <si>
    <t>R2129</t>
  </si>
  <si>
    <t>vin rouge</t>
  </si>
  <si>
    <t>R2130</t>
  </si>
  <si>
    <t>vinaigre balsamique</t>
  </si>
  <si>
    <t>R2131</t>
  </si>
  <si>
    <t>vinaigre de cidre</t>
  </si>
  <si>
    <t>R2132</t>
  </si>
  <si>
    <t>vinaigre de vin</t>
  </si>
  <si>
    <t>Classé en allergène certain dans ce moteur pour le vinaigre de vin.</t>
  </si>
  <si>
    <t>R2133</t>
  </si>
  <si>
    <t>wine cocktail</t>
  </si>
  <si>
    <t>R2134</t>
  </si>
  <si>
    <t>xérès</t>
  </si>
  <si>
    <t>xeres</t>
  </si>
  <si>
    <t>R2135</t>
  </si>
  <si>
    <t>Lupin ou dérivé.</t>
  </si>
  <si>
    <t>R2136</t>
  </si>
  <si>
    <t>graine de lupin</t>
  </si>
  <si>
    <t>R2137</t>
  </si>
  <si>
    <t>graines de lupin</t>
  </si>
  <si>
    <t>R2138</t>
  </si>
  <si>
    <t>isolat de lupin</t>
  </si>
  <si>
    <t>R2139</t>
  </si>
  <si>
    <t>lupin</t>
  </si>
  <si>
    <t>R2140</t>
  </si>
  <si>
    <t>lupin doux</t>
  </si>
  <si>
    <t>R2141</t>
  </si>
  <si>
    <t>lupine</t>
  </si>
  <si>
    <t>R2142</t>
  </si>
  <si>
    <t>lupine flour</t>
  </si>
  <si>
    <t>R2143</t>
  </si>
  <si>
    <t>lupins</t>
  </si>
  <si>
    <t>R2144</t>
  </si>
  <si>
    <t>protéine de lupin</t>
  </si>
  <si>
    <t>proteine de lupin</t>
  </si>
  <si>
    <t>R2145</t>
  </si>
  <si>
    <t>protéines de lupin</t>
  </si>
  <si>
    <t>proteines de lupin</t>
  </si>
  <si>
    <t>R2146</t>
  </si>
  <si>
    <t>semoule de lupin</t>
  </si>
  <si>
    <t>R2147</t>
  </si>
  <si>
    <t>son de lupin</t>
  </si>
  <si>
    <t>R2148</t>
  </si>
  <si>
    <t>Ingrédient possible dans certaines formulations.</t>
  </si>
  <si>
    <t>R2149</t>
  </si>
  <si>
    <t>R2150</t>
  </si>
  <si>
    <t>R2151</t>
  </si>
  <si>
    <t>préparation boulangère sans gluten</t>
  </si>
  <si>
    <t>preparation boulangere sans gluten</t>
  </si>
  <si>
    <t>R2152</t>
  </si>
  <si>
    <t>R2153</t>
  </si>
  <si>
    <t>substitut d œuf</t>
  </si>
  <si>
    <t>substitut d oeuf</t>
  </si>
  <si>
    <t>R2154</t>
  </si>
  <si>
    <t>acmee</t>
  </si>
  <si>
    <t>2025-2026</t>
  </si>
  <si>
    <t>R2155</t>
  </si>
  <si>
    <t>amande de l atlantique</t>
  </si>
  <si>
    <t>R2156</t>
  </si>
  <si>
    <t>amande de mediterrannee</t>
  </si>
  <si>
    <t>R2157</t>
  </si>
  <si>
    <t>R2158</t>
  </si>
  <si>
    <t>amande du pacifique</t>
  </si>
  <si>
    <t>R2159</t>
  </si>
  <si>
    <t>Terme métier explicite ajouté après test.</t>
  </si>
  <si>
    <t>R2160</t>
  </si>
  <si>
    <t>anomie</t>
  </si>
  <si>
    <t>R2161</t>
  </si>
  <si>
    <t>arapede</t>
  </si>
  <si>
    <t>R2162</t>
  </si>
  <si>
    <t>arapede du pacifique</t>
  </si>
  <si>
    <t>R2163</t>
  </si>
  <si>
    <t>arche</t>
  </si>
  <si>
    <t>R2164</t>
  </si>
  <si>
    <t>avicule</t>
  </si>
  <si>
    <t>R2165</t>
  </si>
  <si>
    <t>berlingot de mer</t>
  </si>
  <si>
    <t>R2166</t>
  </si>
  <si>
    <t>bernique</t>
  </si>
  <si>
    <t>R2167</t>
  </si>
  <si>
    <t>bigorneau</t>
  </si>
  <si>
    <t>R2168</t>
  </si>
  <si>
    <t>bigorneaux</t>
  </si>
  <si>
    <t>Mollusque ou dérivé explicite.</t>
  </si>
  <si>
    <t>R2169</t>
  </si>
  <si>
    <t>bucarde</t>
  </si>
  <si>
    <t>R2170</t>
  </si>
  <si>
    <t>buccin</t>
  </si>
  <si>
    <t>R2171</t>
  </si>
  <si>
    <t>buccins</t>
  </si>
  <si>
    <t>R2172</t>
  </si>
  <si>
    <t>bullie</t>
  </si>
  <si>
    <t>R2173</t>
  </si>
  <si>
    <t>bulot</t>
  </si>
  <si>
    <t>R2174</t>
  </si>
  <si>
    <t>bulots</t>
  </si>
  <si>
    <t>R2175</t>
  </si>
  <si>
    <t>busycon</t>
  </si>
  <si>
    <t>R2176</t>
  </si>
  <si>
    <t>calamar</t>
  </si>
  <si>
    <t>R2177</t>
  </si>
  <si>
    <t>calamars</t>
  </si>
  <si>
    <t>R2178</t>
  </si>
  <si>
    <t>calmar</t>
  </si>
  <si>
    <t>R2179</t>
  </si>
  <si>
    <t>calmar baril</t>
  </si>
  <si>
    <t>R2180</t>
  </si>
  <si>
    <t>calmar de patagonie</t>
  </si>
  <si>
    <t>R2181</t>
  </si>
  <si>
    <t>calmar du cap</t>
  </si>
  <si>
    <t>R2182</t>
  </si>
  <si>
    <t>calmar epee</t>
  </si>
  <si>
    <t>R2183</t>
  </si>
  <si>
    <t>calmar geant</t>
  </si>
  <si>
    <t>R2184</t>
  </si>
  <si>
    <t>calmar indien</t>
  </si>
  <si>
    <t>R2185</t>
  </si>
  <si>
    <t>calmar japonais</t>
  </si>
  <si>
    <t>R2186</t>
  </si>
  <si>
    <t>calmar mignon</t>
  </si>
  <si>
    <t>R2187</t>
  </si>
  <si>
    <t>calmar mitre</t>
  </si>
  <si>
    <t>R2188</t>
  </si>
  <si>
    <t>calmar opale</t>
  </si>
  <si>
    <t>R2189</t>
  </si>
  <si>
    <t>calmar siboga</t>
  </si>
  <si>
    <t>R2190</t>
  </si>
  <si>
    <t>calmars</t>
  </si>
  <si>
    <t>R2191</t>
  </si>
  <si>
    <t>cardite</t>
  </si>
  <si>
    <t>R2192</t>
  </si>
  <si>
    <t>casque</t>
  </si>
  <si>
    <t>R2193</t>
  </si>
  <si>
    <t>casseron</t>
  </si>
  <si>
    <t>R2194</t>
  </si>
  <si>
    <t>ceratisole gousse</t>
  </si>
  <si>
    <t>R2195</t>
  </si>
  <si>
    <t>chanque</t>
  </si>
  <si>
    <t>R2196</t>
  </si>
  <si>
    <t>clam</t>
  </si>
  <si>
    <t>R2197</t>
  </si>
  <si>
    <t>clam d islande</t>
  </si>
  <si>
    <t>R2198</t>
  </si>
  <si>
    <t>clams</t>
  </si>
  <si>
    <t>R2199</t>
  </si>
  <si>
    <t>clausinelle</t>
  </si>
  <si>
    <t>R2200</t>
  </si>
  <si>
    <t>clovisse</t>
  </si>
  <si>
    <t>R2201</t>
  </si>
  <si>
    <t>conque</t>
  </si>
  <si>
    <t>R2202</t>
  </si>
  <si>
    <t>coque</t>
  </si>
  <si>
    <t>R2203</t>
  </si>
  <si>
    <t>coque du groenland</t>
  </si>
  <si>
    <t>R2204</t>
  </si>
  <si>
    <t>coque epineuse</t>
  </si>
  <si>
    <t>R2205</t>
  </si>
  <si>
    <t>coques</t>
  </si>
  <si>
    <t>R2206</t>
  </si>
  <si>
    <t>coquillage</t>
  </si>
  <si>
    <t>R2207</t>
  </si>
  <si>
    <t>coquillages</t>
  </si>
  <si>
    <t>R2208</t>
  </si>
  <si>
    <t>coquille saint jacques</t>
  </si>
  <si>
    <t>R2209</t>
  </si>
  <si>
    <t>coquilles saint jacques</t>
  </si>
  <si>
    <t>R2210</t>
  </si>
  <si>
    <t>corbicule</t>
  </si>
  <si>
    <t>R2211</t>
  </si>
  <si>
    <t>couteau</t>
  </si>
  <si>
    <t>R2212</t>
  </si>
  <si>
    <t>couteaux</t>
  </si>
  <si>
    <t>R2213</t>
  </si>
  <si>
    <t>crepidule</t>
  </si>
  <si>
    <t>R2214</t>
  </si>
  <si>
    <t>cuttlefish</t>
  </si>
  <si>
    <t>R2215</t>
  </si>
  <si>
    <t>cyprine</t>
  </si>
  <si>
    <t>R2216</t>
  </si>
  <si>
    <t>cyrene</t>
  </si>
  <si>
    <t>R2217</t>
  </si>
  <si>
    <t>cytheree</t>
  </si>
  <si>
    <t>R2218</t>
  </si>
  <si>
    <t>darine</t>
  </si>
  <si>
    <t>R2219</t>
  </si>
  <si>
    <t>datte de mer</t>
  </si>
  <si>
    <t>R2220</t>
  </si>
  <si>
    <t>donace</t>
  </si>
  <si>
    <t>R2221</t>
  </si>
  <si>
    <t>dosinie</t>
  </si>
  <si>
    <t>R2222</t>
  </si>
  <si>
    <t>egerie</t>
  </si>
  <si>
    <t>R2223</t>
  </si>
  <si>
    <t>encornet</t>
  </si>
  <si>
    <t>R2224</t>
  </si>
  <si>
    <t>encornet bande violette</t>
  </si>
  <si>
    <t>R2225</t>
  </si>
  <si>
    <t>encornet de boston</t>
  </si>
  <si>
    <t>R2226</t>
  </si>
  <si>
    <t>encornet de californie</t>
  </si>
  <si>
    <t>R2227</t>
  </si>
  <si>
    <t>encornet de chine</t>
  </si>
  <si>
    <t>R2228</t>
  </si>
  <si>
    <t>encornet de nouvelle zelande</t>
  </si>
  <si>
    <t>R2229</t>
  </si>
  <si>
    <t>encornet geant</t>
  </si>
  <si>
    <t>R2230</t>
  </si>
  <si>
    <t>encornet rouge</t>
  </si>
  <si>
    <t>R2231</t>
  </si>
  <si>
    <t>encornet rouge argentin</t>
  </si>
  <si>
    <t>R2232</t>
  </si>
  <si>
    <t>encornet rouge nordique</t>
  </si>
  <si>
    <t>R2233</t>
  </si>
  <si>
    <t>encornet tonnelet</t>
  </si>
  <si>
    <t>R2234</t>
  </si>
  <si>
    <t>encornet veine</t>
  </si>
  <si>
    <t>R2235</t>
  </si>
  <si>
    <t>encornets</t>
  </si>
  <si>
    <t>R2236</t>
  </si>
  <si>
    <t>encre de seiche</t>
  </si>
  <si>
    <t>R2237</t>
  </si>
  <si>
    <t>escargot</t>
  </si>
  <si>
    <t>R2238</t>
  </si>
  <si>
    <t>escargots</t>
  </si>
  <si>
    <t>R2239</t>
  </si>
  <si>
    <t>extrait d huître</t>
  </si>
  <si>
    <t>extrait d huitre</t>
  </si>
  <si>
    <t>R2240</t>
  </si>
  <si>
    <t>fasciolaire</t>
  </si>
  <si>
    <t>R2241</t>
  </si>
  <si>
    <t>fissurelle</t>
  </si>
  <si>
    <t>R2242</t>
  </si>
  <si>
    <t>flion</t>
  </si>
  <si>
    <t>R2243</t>
  </si>
  <si>
    <t>fruits de mer</t>
  </si>
  <si>
    <t>R2244</t>
  </si>
  <si>
    <t>fumet de coquillages</t>
  </si>
  <si>
    <t>R2245</t>
  </si>
  <si>
    <t>gallinette</t>
  </si>
  <si>
    <t>R2246</t>
  </si>
  <si>
    <t>gofiche</t>
  </si>
  <si>
    <t>R2247</t>
  </si>
  <si>
    <t>goufique</t>
  </si>
  <si>
    <t>R2248</t>
  </si>
  <si>
    <t>gousse</t>
  </si>
  <si>
    <t>R2249</t>
  </si>
  <si>
    <t>haricot de mer</t>
  </si>
  <si>
    <t>R2250</t>
  </si>
  <si>
    <t>huître</t>
  </si>
  <si>
    <t>huitre</t>
  </si>
  <si>
    <t>R2251</t>
  </si>
  <si>
    <t>huitre capuchon</t>
  </si>
  <si>
    <t>R2252</t>
  </si>
  <si>
    <t>huitre creuse</t>
  </si>
  <si>
    <t>R2253</t>
  </si>
  <si>
    <t>huitre creuse de paletuviers</t>
  </si>
  <si>
    <t>R2254</t>
  </si>
  <si>
    <t>huitre creuse de virginie</t>
  </si>
  <si>
    <t>R2255</t>
  </si>
  <si>
    <t>huitre creuse du pacifique</t>
  </si>
  <si>
    <t>R2256</t>
  </si>
  <si>
    <t>huitre perliere</t>
  </si>
  <si>
    <t>R2257</t>
  </si>
  <si>
    <t>huitre plate</t>
  </si>
  <si>
    <t>R2258</t>
  </si>
  <si>
    <t>huitre plate d argentine</t>
  </si>
  <si>
    <t>R2259</t>
  </si>
  <si>
    <t>huitre plate de guinee</t>
  </si>
  <si>
    <t>R2260</t>
  </si>
  <si>
    <t>huitre plate des marees</t>
  </si>
  <si>
    <t>R2261</t>
  </si>
  <si>
    <t>huitre plate du pacifique</t>
  </si>
  <si>
    <t>R2262</t>
  </si>
  <si>
    <t>huîtres</t>
  </si>
  <si>
    <t>huitres</t>
  </si>
  <si>
    <t>R2263</t>
  </si>
  <si>
    <t>isocarde</t>
  </si>
  <si>
    <t>R2264</t>
  </si>
  <si>
    <t>jambonneau de mer</t>
  </si>
  <si>
    <t>R2265</t>
  </si>
  <si>
    <t>jus de coquillages</t>
  </si>
  <si>
    <t>R2266</t>
  </si>
  <si>
    <t>lambi</t>
  </si>
  <si>
    <t>R2267</t>
  </si>
  <si>
    <t>lavignon</t>
  </si>
  <si>
    <t>R2268</t>
  </si>
  <si>
    <t>littorine</t>
  </si>
  <si>
    <t>R2269</t>
  </si>
  <si>
    <t>lucine</t>
  </si>
  <si>
    <t>R2270</t>
  </si>
  <si>
    <t>lutraire</t>
  </si>
  <si>
    <t>R2271</t>
  </si>
  <si>
    <t>macome</t>
  </si>
  <si>
    <t>R2272</t>
  </si>
  <si>
    <t>mactre</t>
  </si>
  <si>
    <t>R2273</t>
  </si>
  <si>
    <t>mactre arctique</t>
  </si>
  <si>
    <t>R2274</t>
  </si>
  <si>
    <t>mactre de stimpson</t>
  </si>
  <si>
    <t>R2275</t>
  </si>
  <si>
    <t>marteau</t>
  </si>
  <si>
    <t>R2276</t>
  </si>
  <si>
    <t>melongene</t>
  </si>
  <si>
    <t>R2277</t>
  </si>
  <si>
    <t>mesodesme</t>
  </si>
  <si>
    <t>R2278</t>
  </si>
  <si>
    <t>modiole</t>
  </si>
  <si>
    <t>R2279</t>
  </si>
  <si>
    <t>mollusc</t>
  </si>
  <si>
    <t>R2280</t>
  </si>
  <si>
    <t>molluscs</t>
  </si>
  <si>
    <t>R2281</t>
  </si>
  <si>
    <t>mollusque</t>
  </si>
  <si>
    <t>R2282</t>
  </si>
  <si>
    <t>mollusques</t>
  </si>
  <si>
    <t>R2283</t>
  </si>
  <si>
    <t>montre</t>
  </si>
  <si>
    <t>R2284</t>
  </si>
  <si>
    <t>moule</t>
  </si>
  <si>
    <t>R2285</t>
  </si>
  <si>
    <t>moule africaine</t>
  </si>
  <si>
    <t>R2286</t>
  </si>
  <si>
    <t>moule cholga</t>
  </si>
  <si>
    <t>R2287</t>
  </si>
  <si>
    <t>moule choro</t>
  </si>
  <si>
    <t>R2288</t>
  </si>
  <si>
    <t>moule cotelee</t>
  </si>
  <si>
    <t>R2289</t>
  </si>
  <si>
    <t>moule de guyane</t>
  </si>
  <si>
    <t>R2290</t>
  </si>
  <si>
    <t>moule de la plata</t>
  </si>
  <si>
    <t>R2291</t>
  </si>
  <si>
    <t>moule du pacifique</t>
  </si>
  <si>
    <t>R2292</t>
  </si>
  <si>
    <t>moule melin</t>
  </si>
  <si>
    <t>R2293</t>
  </si>
  <si>
    <t>moule pourpre</t>
  </si>
  <si>
    <t>R2294</t>
  </si>
  <si>
    <t>moules</t>
  </si>
  <si>
    <t>R2295</t>
  </si>
  <si>
    <t>murex</t>
  </si>
  <si>
    <t>R2296</t>
  </si>
  <si>
    <t>mussel</t>
  </si>
  <si>
    <t>R2297</t>
  </si>
  <si>
    <t>mussels</t>
  </si>
  <si>
    <t>R2298</t>
  </si>
  <si>
    <t>mye</t>
  </si>
  <si>
    <t>R2299</t>
  </si>
  <si>
    <t>nasse</t>
  </si>
  <si>
    <t>R2300</t>
  </si>
  <si>
    <t>natice</t>
  </si>
  <si>
    <t>R2301</t>
  </si>
  <si>
    <t>nerite</t>
  </si>
  <si>
    <t>R2302</t>
  </si>
  <si>
    <t>noisette de mer</t>
  </si>
  <si>
    <t>R2303</t>
  </si>
  <si>
    <t>R2304</t>
  </si>
  <si>
    <t>R2305</t>
  </si>
  <si>
    <t>octopus</t>
  </si>
  <si>
    <t>R2306</t>
  </si>
  <si>
    <t>olive de mer</t>
  </si>
  <si>
    <t>R2307</t>
  </si>
  <si>
    <t>ormeau</t>
  </si>
  <si>
    <t>R2308</t>
  </si>
  <si>
    <t>ormeau d australie</t>
  </si>
  <si>
    <t>R2309</t>
  </si>
  <si>
    <t>ormeau de l ocean indien</t>
  </si>
  <si>
    <t>R2310</t>
  </si>
  <si>
    <t>ormeau du pacifique</t>
  </si>
  <si>
    <t>R2311</t>
  </si>
  <si>
    <t>ormeaux</t>
  </si>
  <si>
    <t>R2312</t>
  </si>
  <si>
    <t>ostreola conchaphila huitre plate du pacifique</t>
  </si>
  <si>
    <t>R2313</t>
  </si>
  <si>
    <t>ovarque</t>
  </si>
  <si>
    <t>R2314</t>
  </si>
  <si>
    <t>oyster</t>
  </si>
  <si>
    <t>R2315</t>
  </si>
  <si>
    <t>oysters</t>
  </si>
  <si>
    <t>R2316</t>
  </si>
  <si>
    <t>palourde</t>
  </si>
  <si>
    <t>R2317</t>
  </si>
  <si>
    <t>palourde bariolee</t>
  </si>
  <si>
    <t>R2318</t>
  </si>
  <si>
    <t>palourde de gay</t>
  </si>
  <si>
    <t>R2319</t>
  </si>
  <si>
    <t>palourde du pacifique</t>
  </si>
  <si>
    <t>R2320</t>
  </si>
  <si>
    <t>palourde japonaise</t>
  </si>
  <si>
    <t>R2321</t>
  </si>
  <si>
    <t>palourde pegon</t>
  </si>
  <si>
    <t>R2322</t>
  </si>
  <si>
    <t>palourde poulette</t>
  </si>
  <si>
    <t>R2323</t>
  </si>
  <si>
    <t>palourde rose</t>
  </si>
  <si>
    <t>R2324</t>
  </si>
  <si>
    <t>palourde rugueuse</t>
  </si>
  <si>
    <t>R2325</t>
  </si>
  <si>
    <t>palourdes</t>
  </si>
  <si>
    <t>R2326</t>
  </si>
  <si>
    <t>panopee</t>
  </si>
  <si>
    <t>R2327</t>
  </si>
  <si>
    <t>patelle</t>
  </si>
  <si>
    <t>R2328</t>
  </si>
  <si>
    <t>perna canaliculus</t>
  </si>
  <si>
    <t>R2329</t>
  </si>
  <si>
    <t>petit couteau</t>
  </si>
  <si>
    <t>R2330</t>
  </si>
  <si>
    <t>pétoncle</t>
  </si>
  <si>
    <t>petoncle</t>
  </si>
  <si>
    <t>R2331</t>
  </si>
  <si>
    <t>pétoncles</t>
  </si>
  <si>
    <t>petoncles</t>
  </si>
  <si>
    <t>R2332</t>
  </si>
  <si>
    <t>petricole</t>
  </si>
  <si>
    <t>R2333</t>
  </si>
  <si>
    <t>pholade</t>
  </si>
  <si>
    <t>R2334</t>
  </si>
  <si>
    <t>pieuvre</t>
  </si>
  <si>
    <t>R2335</t>
  </si>
  <si>
    <t>pieuvres</t>
  </si>
  <si>
    <t>R2336</t>
  </si>
  <si>
    <t>pintadine</t>
  </si>
  <si>
    <t>R2337</t>
  </si>
  <si>
    <t>pitar</t>
  </si>
  <si>
    <t>R2338</t>
  </si>
  <si>
    <t>poulpe</t>
  </si>
  <si>
    <t>R2339</t>
  </si>
  <si>
    <t>poulpe blanc</t>
  </si>
  <si>
    <t>R2340</t>
  </si>
  <si>
    <t>poulpe geant</t>
  </si>
  <si>
    <t>R2341</t>
  </si>
  <si>
    <t>poulpe mexicain</t>
  </si>
  <si>
    <t>R2342</t>
  </si>
  <si>
    <t>poulpe nain</t>
  </si>
  <si>
    <t>R2343</t>
  </si>
  <si>
    <t>poulpe quatre yeux</t>
  </si>
  <si>
    <t>R2344</t>
  </si>
  <si>
    <t>poulpes</t>
  </si>
  <si>
    <t>R2345</t>
  </si>
  <si>
    <t>pourpre</t>
  </si>
  <si>
    <t>R2346</t>
  </si>
  <si>
    <t>praire</t>
  </si>
  <si>
    <t>R2347</t>
  </si>
  <si>
    <t>praires</t>
  </si>
  <si>
    <t>R2348</t>
  </si>
  <si>
    <t>psammobie</t>
  </si>
  <si>
    <t>R2349</t>
  </si>
  <si>
    <t>pterocere</t>
  </si>
  <si>
    <t>R2350</t>
  </si>
  <si>
    <t>pycnodonte</t>
  </si>
  <si>
    <t>R2351</t>
  </si>
  <si>
    <t>rangie</t>
  </si>
  <si>
    <t>R2352</t>
  </si>
  <si>
    <t>rapane veine</t>
  </si>
  <si>
    <t>R2353</t>
  </si>
  <si>
    <t>risotto nero</t>
  </si>
  <si>
    <t>R2354</t>
  </si>
  <si>
    <t>rocher</t>
  </si>
  <si>
    <t>R2355</t>
  </si>
  <si>
    <t>saint jacques</t>
  </si>
  <si>
    <t>R2356</t>
  </si>
  <si>
    <t>sanguine de mer</t>
  </si>
  <si>
    <t>R2357</t>
  </si>
  <si>
    <t>sauce aux huîtres</t>
  </si>
  <si>
    <t>sauce aux huitres</t>
  </si>
  <si>
    <t>R2358</t>
  </si>
  <si>
    <t>sauce d huître</t>
  </si>
  <si>
    <t>sauce d huitre</t>
  </si>
  <si>
    <t>R2359</t>
  </si>
  <si>
    <t>saxidome</t>
  </si>
  <si>
    <t>R2360</t>
  </si>
  <si>
    <t>scallop</t>
  </si>
  <si>
    <t>R2361</t>
  </si>
  <si>
    <t>scallops</t>
  </si>
  <si>
    <t>R2362</t>
  </si>
  <si>
    <t>seiche</t>
  </si>
  <si>
    <t>R2363</t>
  </si>
  <si>
    <t>seiche aiguille</t>
  </si>
  <si>
    <t>R2364</t>
  </si>
  <si>
    <t>seiche hamecon</t>
  </si>
  <si>
    <t>R2365</t>
  </si>
  <si>
    <t>seiche petite main</t>
  </si>
  <si>
    <t>R2366</t>
  </si>
  <si>
    <t>seiche pharaon</t>
  </si>
  <si>
    <t>R2367</t>
  </si>
  <si>
    <t>seiche rosee</t>
  </si>
  <si>
    <t>R2368</t>
  </si>
  <si>
    <t>seiches</t>
  </si>
  <si>
    <t>R2369</t>
  </si>
  <si>
    <t>semele</t>
  </si>
  <si>
    <t>R2370</t>
  </si>
  <si>
    <t>silique</t>
  </si>
  <si>
    <t>R2371</t>
  </si>
  <si>
    <t>solecurte</t>
  </si>
  <si>
    <t>R2372</t>
  </si>
  <si>
    <t>spisule</t>
  </si>
  <si>
    <t>R2373</t>
  </si>
  <si>
    <t>spondyle</t>
  </si>
  <si>
    <t>R2374</t>
  </si>
  <si>
    <t>squid</t>
  </si>
  <si>
    <t>R2375</t>
  </si>
  <si>
    <t>striostrea prismatica huitre plate du pacifique</t>
  </si>
  <si>
    <t>R2376</t>
  </si>
  <si>
    <t>strombe</t>
  </si>
  <si>
    <t>R2377</t>
  </si>
  <si>
    <t>tagal</t>
  </si>
  <si>
    <t>R2378</t>
  </si>
  <si>
    <t>telline</t>
  </si>
  <si>
    <t>R2379</t>
  </si>
  <si>
    <t>tellines</t>
  </si>
  <si>
    <t>R2380</t>
  </si>
  <si>
    <t>tivel</t>
  </si>
  <si>
    <t>R2381</t>
  </si>
  <si>
    <t>tonnelet</t>
  </si>
  <si>
    <t>R2382</t>
  </si>
  <si>
    <t>toutout</t>
  </si>
  <si>
    <t>R2383</t>
  </si>
  <si>
    <t>triton</t>
  </si>
  <si>
    <t>R2384</t>
  </si>
  <si>
    <t>trophe</t>
  </si>
  <si>
    <t>R2385</t>
  </si>
  <si>
    <t>troque</t>
  </si>
  <si>
    <t>R2386</t>
  </si>
  <si>
    <t>turban</t>
  </si>
  <si>
    <t>R2387</t>
  </si>
  <si>
    <t>venus</t>
  </si>
  <si>
    <t>R2388</t>
  </si>
  <si>
    <t>venus du vietnam</t>
  </si>
  <si>
    <t>R2389</t>
  </si>
  <si>
    <t>venus gallinette</t>
  </si>
  <si>
    <t>R2390</t>
  </si>
  <si>
    <t>vernis</t>
  </si>
  <si>
    <t>R2391</t>
  </si>
  <si>
    <t>vernis pourpre</t>
  </si>
  <si>
    <t>R2392</t>
  </si>
  <si>
    <t>volute</t>
  </si>
  <si>
    <t>R2393</t>
  </si>
  <si>
    <t>volute marbree</t>
  </si>
  <si>
    <t>R2394</t>
  </si>
  <si>
    <t>whelk</t>
  </si>
  <si>
    <t>R2395</t>
  </si>
  <si>
    <t>whelks</t>
  </si>
  <si>
    <t>R2396</t>
  </si>
  <si>
    <t>yet</t>
  </si>
  <si>
    <t>R2397</t>
  </si>
  <si>
    <t>coque chocolat</t>
  </si>
  <si>
    <t>Évite un faux positif de matériel.</t>
  </si>
  <si>
    <t>R2398</t>
  </si>
  <si>
    <t>coque de bateau</t>
  </si>
  <si>
    <t>R2399</t>
  </si>
  <si>
    <t>coque de macaron</t>
  </si>
  <si>
    <t>R2400</t>
  </si>
  <si>
    <t>coque de meringue</t>
  </si>
  <si>
    <t>R2401</t>
  </si>
  <si>
    <t>couteau de cuisine</t>
  </si>
  <si>
    <t>R2402</t>
  </si>
  <si>
    <t>couteaux de cuisine</t>
  </si>
  <si>
    <t>R2403</t>
  </si>
  <si>
    <t>R2404</t>
  </si>
  <si>
    <t>R2405</t>
  </si>
  <si>
    <t>R2406</t>
  </si>
  <si>
    <t>R2407</t>
  </si>
  <si>
    <t>R2408</t>
  </si>
  <si>
    <t>R2409</t>
  </si>
  <si>
    <t>R2410</t>
  </si>
  <si>
    <t>moule inox</t>
  </si>
  <si>
    <t>R2411</t>
  </si>
  <si>
    <t>moule pâtisserie</t>
  </si>
  <si>
    <t>moule patisserie</t>
  </si>
  <si>
    <t>R2412</t>
  </si>
  <si>
    <t>moule silicone</t>
  </si>
  <si>
    <t>R2413</t>
  </si>
  <si>
    <t>R2414</t>
  </si>
  <si>
    <t>R2415</t>
  </si>
  <si>
    <t>fruits de mer surgelés</t>
  </si>
  <si>
    <t>fruits de mer surgeles</t>
  </si>
  <si>
    <t>R2416</t>
  </si>
  <si>
    <t>sauce huître végétarienne</t>
  </si>
  <si>
    <t>sauce huitre vegetarienne</t>
  </si>
  <si>
    <t>R2417</t>
  </si>
  <si>
    <t>R2418</t>
  </si>
  <si>
    <t>sucre semoule</t>
  </si>
  <si>
    <t>Exclusion ciblée : le sucre semoule n’est pas une céréale et ne contient pas de gluten par nature.</t>
  </si>
  <si>
    <t>R2419</t>
  </si>
  <si>
    <t>boulghour</t>
  </si>
  <si>
    <t>Cuisine/Traiteur/Restauration collective</t>
  </si>
  <si>
    <t>Variante orthographique courante du boulgour, produit à base de blé.</t>
  </si>
  <si>
    <t>R2420</t>
  </si>
  <si>
    <t>boulghour fin</t>
  </si>
  <si>
    <t>Dénomination commerciale courante d’un produit à base de blé.</t>
  </si>
  <si>
    <t>R2421</t>
  </si>
  <si>
    <t>bulghour</t>
  </si>
  <si>
    <t>Variante orthographique du boulgour, produit à base de blé.</t>
  </si>
  <si>
    <t>R2422</t>
  </si>
  <si>
    <t>thon</t>
  </si>
  <si>
    <t>Nom générique du poisson ; permet de détecter les préparations au thon.</t>
  </si>
  <si>
    <t>R2423</t>
  </si>
  <si>
    <t>thon au naturel</t>
  </si>
  <si>
    <t>Dénomination usuelle d’une conserve de poisson.</t>
  </si>
  <si>
    <t>R2424</t>
  </si>
  <si>
    <t>mozarella</t>
  </si>
  <si>
    <t>Cuisine/Traiteur/Pizzeria</t>
  </si>
  <si>
    <t>Variante orthographique fréquente de mozzarella.</t>
  </si>
  <si>
    <t>R2425</t>
  </si>
  <si>
    <t>tomate et mozarella au basilic</t>
  </si>
  <si>
    <t>Dénomination de plat contenant un fromage au lait.</t>
  </si>
  <si>
    <t>sirop de glucose à base de blé</t>
  </si>
  <si>
    <t>sirop de glucose a base de ble</t>
  </si>
  <si>
    <t>Exception réglementaire à la déclaration du gluten.</t>
  </si>
  <si>
    <t>sirops de glucose à base de blé</t>
  </si>
  <si>
    <t>sirops de glucose a base de ble</t>
  </si>
  <si>
    <t>Variante plurielle de l’exception réglementaire.</t>
  </si>
  <si>
    <t>sirop de glucose de blé</t>
  </si>
  <si>
    <t>sirop de glucose de ble</t>
  </si>
  <si>
    <t>Variante usuelle de l’exception réglementaire.</t>
  </si>
  <si>
    <t>sirops de glucose de blé</t>
  </si>
  <si>
    <t>sirops de glucose de ble</t>
  </si>
  <si>
    <t>dextrose de blé</t>
  </si>
  <si>
    <t>dextrose de ble</t>
  </si>
  <si>
    <t>Le dextrose est inclus dans l’exception des sirops de glucose à base de blé.</t>
  </si>
  <si>
    <t>maltodextrine de ble</t>
  </si>
  <si>
    <t>maltodextrines de blé</t>
  </si>
  <si>
    <t>maltodextrines de ble</t>
  </si>
  <si>
    <t>maltodextrine à base de blé</t>
  </si>
  <si>
    <t>maltodextrine a base de ble</t>
  </si>
  <si>
    <t>maltodextrines à base de blé</t>
  </si>
  <si>
    <t>maltodextrines a base de ble</t>
  </si>
  <si>
    <t>sirop de glucose à base d’orge</t>
  </si>
  <si>
    <t>sirop de glucose a base d orge</t>
  </si>
  <si>
    <t>sirops de glucose à base d’orge</t>
  </si>
  <si>
    <t>sirops de glucose a base d orge</t>
  </si>
  <si>
    <t>sirop de glucose d’orge</t>
  </si>
  <si>
    <t>sirop de glucose d orge</t>
  </si>
  <si>
    <t>sirops de glucose d’orge</t>
  </si>
  <si>
    <t>sirops de glucose d orge</t>
  </si>
  <si>
    <t>Exclusion du contrôle œuf/lait propre au vin.</t>
  </si>
  <si>
    <t>vinaigre au vin</t>
  </si>
  <si>
    <t>Contrôler l’étiquette : œuf, lait et sulfites peuvent être déclarés s’ils sont détectables.</t>
  </si>
  <si>
    <t>farine</t>
  </si>
  <si>
    <t>Terme générique : la céréale n’est pas précisée. Vérifier la nature de la farine avant de conclure à la présence de gluten.</t>
  </si>
  <si>
    <t>Exclusion contextuelle : ici « glace » qualifie le sucre et ne désigne pas une glace alimentaire. Neutraliser avant les recherches Œufs/Lait.</t>
  </si>
  <si>
    <t>2026-08</t>
  </si>
  <si>
    <t>Allergènes</t>
  </si>
  <si>
    <t>* = allergène repéré. ? = information à rechercher ou à vérifier sur la fiche produit, l’étiquetage ou la documentation fournisseur.</t>
  </si>
  <si>
    <t>* ou ?</t>
  </si>
  <si>
    <t>FICHE CFA — ALLERGÈNES ET POINTS DE VIGILANCE DANS LES COCKTAILS</t>
  </si>
  <si>
    <t>Objectif : repérer * = allergène confirmé ; ? = composition à vérifier avant de servir.</t>
  </si>
  <si>
    <t>CODE</t>
  </si>
  <si>
    <t>SIGNIFICATION</t>
  </si>
  <si>
    <t>UTILISATION</t>
  </si>
  <si>
    <t>LES 14 ALLERGÈNES À CONNAÎTRE</t>
  </si>
  <si>
    <t>ALLERGÈNE CONFIRMÉ</t>
  </si>
  <si>
    <t>Utiliser * seulement si l'allergène est présent par nature dans l'ingrédient ou déclaré sur l'étiquette / fiche technique.</t>
  </si>
  <si>
    <t>ALLERGÈNE / FAMILLE</t>
  </si>
  <si>
    <t>COMPOSITION À VÉRIFIER</t>
  </si>
  <si>
    <t>Le nom générique ne permet pas de conclure : vérifier la marque, l'étiquette, la fiche technique et les mentions allergènes.</t>
  </si>
  <si>
    <t>blé, seigle, orge, avoine…</t>
  </si>
  <si>
    <t>—</t>
  </si>
  <si>
    <t>PAS DE MARQUAGE AUTOMATIQUE</t>
  </si>
  <si>
    <t>Aucun allergène ne doit être déduit du seul nom générique. Contrôler néanmoins le produit réellement utilisé.</t>
  </si>
  <si>
    <t>et produits à base de crustacés</t>
  </si>
  <si>
    <t>et produits à base d'œufs</t>
  </si>
  <si>
    <t>PRODUIT / INGRÉDIENT</t>
  </si>
  <si>
    <t>ALLERGÈNE(S) À SURVEILLER</t>
  </si>
  <si>
    <t>POURQUOI / POINT DE VIGILANCE</t>
  </si>
  <si>
    <t>ACTION PROFESSIONNELLE</t>
  </si>
  <si>
    <t>REMARQUE CFA</t>
  </si>
  <si>
    <t>et produits à base de poissons</t>
  </si>
  <si>
    <t>Lait / œufs</t>
  </si>
  <si>
    <t>Allergène directement présent.</t>
  </si>
  <si>
    <t>Identifier LAIT dans la fiche recette.</t>
  </si>
  <si>
    <t>Même logique pour lait entier, demi-écrémé ou écrémé.</t>
  </si>
  <si>
    <t>et produits à base d'arachides</t>
  </si>
  <si>
    <t>Crème liquide / crème fraîche</t>
  </si>
  <si>
    <t>Produit laitier.</t>
  </si>
  <si>
    <t>Identifier LAIT.</t>
  </si>
  <si>
    <t>Ne pas confondre avec crème végétale.</t>
  </si>
  <si>
    <t>et produits à base de soja</t>
  </si>
  <si>
    <t>Chantilly / crème fouettée</t>
  </si>
  <si>
    <t>Préparation à base de crème.</t>
  </si>
  <si>
    <t>Identifier LAIT et vérifier les autres ingrédients.</t>
  </si>
  <si>
    <t>Une chantilly industrielle peut contenir d'autres composants.</t>
  </si>
  <si>
    <t>y compris lactose</t>
  </si>
  <si>
    <t>Lait concentré</t>
  </si>
  <si>
    <t>Sucré ou non sucré : même allergène.</t>
  </si>
  <si>
    <t>amande, noisette, noix, cajou, pécan, Brésil, pistache, macadamia</t>
  </si>
  <si>
    <t>Yaourt</t>
  </si>
  <si>
    <t>Vérifier aussi les préparations aromatisées.</t>
  </si>
  <si>
    <t>et produits à base de céleri</t>
  </si>
  <si>
    <t>Blanc d'œuf</t>
  </si>
  <si>
    <t>Identifier ŒUFS.</t>
  </si>
  <si>
    <t>Fréquent dans Sour, Fizz et cocktails mousseux.</t>
  </si>
  <si>
    <t>et produits à base de moutarde</t>
  </si>
  <si>
    <t>Jaune d'œuf</t>
  </si>
  <si>
    <t>Fréquent dans certaines recettes classiques.</t>
  </si>
  <si>
    <t>graines et produits à base de sésame</t>
  </si>
  <si>
    <t>Œuf entier</t>
  </si>
  <si>
    <t>Ne pas se limiter au blanc d'œuf.</t>
  </si>
  <si>
    <t>Anhydride sulfureux et sulfites</t>
  </si>
  <si>
    <t>&gt; 10 mg/kg ou &gt; 10 mg/L de SO₂ total</t>
  </si>
  <si>
    <t>Liqueur de crème / crème de whisky</t>
  </si>
  <si>
    <t>La présence de crème implique le lait.</t>
  </si>
  <si>
    <t>Identifier LAIT puis contrôler l'étiquette.</t>
  </si>
  <si>
    <t>Les recettes commerciales peuvent ajouter d'autres allergènes.</t>
  </si>
  <si>
    <t>et produits à base de lupin</t>
  </si>
  <si>
    <t>Advocaat / liqueur aux œufs</t>
  </si>
  <si>
    <t>Œufs ; Lait ?</t>
  </si>
  <si>
    <t>Œuf caractéristique ; présence de lait variable selon produit.</t>
  </si>
  <si>
    <t>Identifier ŒUFS ; vérifier LAIT.</t>
  </si>
  <si>
    <t>Contrôler la référence réellement utilisée.</t>
  </si>
  <si>
    <t>et produits à base de mollusques</t>
  </si>
  <si>
    <t>Fruits à coque / arachides / sésame</t>
  </si>
  <si>
    <t>Boisson aux amandes</t>
  </si>
  <si>
    <t>Fruits à coque : amande</t>
  </si>
  <si>
    <t>Amande directement présente.</t>
  </si>
  <si>
    <t>Identifier FRUITS À COQUE.</t>
  </si>
  <si>
    <t>L'amande fait partie des fruits à coque réglementaires.</t>
  </si>
  <si>
    <t>Boisson aux noisettes</t>
  </si>
  <si>
    <t>Fruits à coque : noisette</t>
  </si>
  <si>
    <t>Noisette directement présente.</t>
  </si>
  <si>
    <t>Contrôler aussi les mélanges végétaux.</t>
  </si>
  <si>
    <t>RÈGLE DE SÉCURITÉ</t>
  </si>
  <si>
    <t>Purée / pâte d'amande</t>
  </si>
  <si>
    <t>Utilisée en décor ou préparation.</t>
  </si>
  <si>
    <t>Le symbole * signifie : allergène CONFIRMÉ.</t>
  </si>
  <si>
    <t>Il ne doit pas être attribué par simple supposition.</t>
  </si>
  <si>
    <t>Pâte / purée de noisette</t>
  </si>
  <si>
    <t>Vérifier les préparations sucrées composées.</t>
  </si>
  <si>
    <t>Le symbole ? signifie : CONTRÔLE À FAIRE.</t>
  </si>
  <si>
    <t>Il s'agit d'un repère interne, pas d'une déclaration réglementaire.</t>
  </si>
  <si>
    <t>Praliné</t>
  </si>
  <si>
    <t>Fruits à coque ; Lait ? ; Soja ?</t>
  </si>
  <si>
    <t>Le praliné contient des fruits à coque ; autres allergènes variables.</t>
  </si>
  <si>
    <t>Identifier FRUITS À COQUE et contrôler le reste.</t>
  </si>
  <si>
    <t>Produit composé : étiquette indispensable.</t>
  </si>
  <si>
    <t>L'étiquette / fiche technique du produit réellement utilisé prime sur cette fiche.</t>
  </si>
  <si>
    <t>Une marque ou une recette peut changer.</t>
  </si>
  <si>
    <t>Beurre / purée d'arachide</t>
  </si>
  <si>
    <t>Arachide directement présente.</t>
  </si>
  <si>
    <t>Identifier ARACHIDES.</t>
  </si>
  <si>
    <t>Arachide ≠ fruit à coque dans la liste réglementaire.</t>
  </si>
  <si>
    <t>Analyser aussi les décors, sauces, mousses et garnitures.</t>
  </si>
  <si>
    <t>Ils font partie du produit servi.</t>
  </si>
  <si>
    <t>Tahini / purée de sésame</t>
  </si>
  <si>
    <t>Sésame directement présent.</t>
  </si>
  <si>
    <t>Identifier SÉSAME.</t>
  </si>
  <si>
    <t>Peut apparaître dans des créations salées.</t>
  </si>
  <si>
    <t>Sirop d'orgeat</t>
  </si>
  <si>
    <t>Fruits à coque : amande ?</t>
  </si>
  <si>
    <t>La composition varie selon les marques ; le goût amande ne prouve pas la présence d'amande.</t>
  </si>
  <si>
    <t>Vérifier étiquette / fiche technique.</t>
  </si>
  <si>
    <t>Ne jamais transformer automatiquement « orgeat » en AMANDE *.</t>
  </si>
  <si>
    <t>SOURCES</t>
  </si>
  <si>
    <t>Les procédés et matières premières varient selon les références.</t>
  </si>
  <si>
    <t>Vérifier l'étiquette.</t>
  </si>
  <si>
    <t>Le nom ou l'arôme ne suffit pas à conclure.</t>
  </si>
  <si>
    <t>Liste réglementaire des substances ou produits provoquant allergies ou intolérances.</t>
  </si>
  <si>
    <t>https://eur-lex.europa.eu/legal-content/FR/TXT/?uri=CELEX:02011R1169-20250401</t>
  </si>
  <si>
    <t>Liqueur de noisette / noix</t>
  </si>
  <si>
    <t>Fruits à coque ?</t>
  </si>
  <si>
    <t>La présence réelle de l'allergène doit être confirmée sur le produit.</t>
  </si>
  <si>
    <t>Vérifier la déclaration allergène.</t>
  </si>
  <si>
    <t>Si la noisette/noix est déclarée, passer en *.</t>
  </si>
  <si>
    <t>DGCCRF — Étiquetage des denrées alimentaires</t>
  </si>
  <si>
    <t>Rappels sur les informations obligatoires et la lecture des étiquettes.</t>
  </si>
  <si>
    <t>https://www.economie.gouv.fr/dgccrf/les-fiches-pratiques/etiquetage-des-denrees-alimentaires-les-regles-connaitre</t>
  </si>
  <si>
    <t>Céréales / soja</t>
  </si>
  <si>
    <t>Bière à base d'orge, blé ou avoine</t>
  </si>
  <si>
    <t>Céréale contenant du gluten utilisée dans la bière.</t>
  </si>
  <si>
    <t>Identifier GLUTEN.</t>
  </si>
  <si>
    <t>Exception : référence spécifiquement formulée/étiquetée sans gluten.</t>
  </si>
  <si>
    <t>Bière — référence non précisée</t>
  </si>
  <si>
    <t>Gluten ?</t>
  </si>
  <si>
    <t>Le mot « bière » seul ne suffit pas à connaître la céréale ni une éventuelle formulation sans gluten.</t>
  </si>
  <si>
    <t>Contrôler la bouteille / fiche technique.</t>
  </si>
  <si>
    <t>Pour une base générique, garder ?.</t>
  </si>
  <si>
    <t>À RETENIR POUR LE CFA</t>
  </si>
  <si>
    <t>Lait / boisson de soja</t>
  </si>
  <si>
    <t>Soja directement présent.</t>
  </si>
  <si>
    <t>Identifier SOJA.</t>
  </si>
  <si>
    <t>Vérifier les boissons végétales mélangées.</t>
  </si>
  <si>
    <t>Je SAIS que l'allergène est présent.</t>
  </si>
  <si>
    <t>Je le signale.</t>
  </si>
  <si>
    <t>Crème de soja</t>
  </si>
  <si>
    <t>Utilisée parfois comme alternative à la crème.</t>
  </si>
  <si>
    <t>Je NE SAIS PAS avec le seul nom du produit.</t>
  </si>
  <si>
    <t>Je vérifie avant de conclure.</t>
  </si>
  <si>
    <t>Sauce soja</t>
  </si>
  <si>
    <t>Soja ; Gluten ?</t>
  </si>
  <si>
    <t>Soja certain ; blé fréquent mais pas systématique.</t>
  </si>
  <si>
    <t>Identifier SOJA ; vérifier GLUTEN.</t>
  </si>
  <si>
    <t>Tamari et sauces sans gluten existent.</t>
  </si>
  <si>
    <t>Je ne déduis aucun allergène automatiquement.</t>
  </si>
  <si>
    <t>Je contrôle néanmoins le produit réel.</t>
  </si>
  <si>
    <t>Vins / fermentés</t>
  </si>
  <si>
    <t>Vin rouge / blanc / rosé</t>
  </si>
  <si>
    <t>Sulfites ?</t>
  </si>
  <si>
    <t>Les sulfites sont à déclarer au-delà du seuil réglementaire ; le produit réel doit être contrôlé.</t>
  </si>
  <si>
    <t>Lire la bouteille / fiche technique.</t>
  </si>
  <si>
    <t>Si SULFITES est déclaré, marquer *.</t>
  </si>
  <si>
    <t>Une supposition n'est jamais une preuve.</t>
  </si>
  <si>
    <t>Traçabilité + étiquette + fiche technique.</t>
  </si>
  <si>
    <t>Champagne / vin effervescent</t>
  </si>
  <si>
    <t>Même principe que pour le vin.</t>
  </si>
  <si>
    <t>Lire l'étiquette.</t>
  </si>
  <si>
    <t>Ne pas déduire * sans contrôle du produit.</t>
  </si>
  <si>
    <t>Prosecco / Cava</t>
  </si>
  <si>
    <t>Boisson vinique ; vérifier le produit.</t>
  </si>
  <si>
    <t>Si déclaré, passer en *.</t>
  </si>
  <si>
    <t>Vermouth</t>
  </si>
  <si>
    <t>Sulfites ? ; autres allergènes possibles</t>
  </si>
  <si>
    <t>Produit aromatisé à base de vin ; composition variable.</t>
  </si>
  <si>
    <t>Lire l'étiquette complète.</t>
  </si>
  <si>
    <t>Particulièrement important pour les cocktails classiques.</t>
  </si>
  <si>
    <t>Porto / Xérès / Madère / VDN</t>
  </si>
  <si>
    <t>Vins fortifiés : déclaration dépend du produit réel.</t>
  </si>
  <si>
    <t>Contrôler l'étiquette.</t>
  </si>
  <si>
    <t>Si sulfites déclarés : *.</t>
  </si>
  <si>
    <t>Cidre / poiré</t>
  </si>
  <si>
    <t>La présence de sulfites varie selon fabrication et référence.</t>
  </si>
  <si>
    <t>Ne pas généraliser à tous les cidres.</t>
  </si>
  <si>
    <t>Liqueurs / produits composés</t>
  </si>
  <si>
    <t>Lait ? ; autres selon recette</t>
  </si>
  <si>
    <t>Certaines références sont simples, d'autres crémeuses ou composées.</t>
  </si>
  <si>
    <t>Contrôler étiquette / fiche technique.</t>
  </si>
  <si>
    <t>Ne pas attribuer LAIT au seul mot « café ».</t>
  </si>
  <si>
    <t>Liqueur de chocolat</t>
  </si>
  <si>
    <t>Lait ? ; Soja ? ; Fruits à coque ?</t>
  </si>
  <si>
    <t>Produit composé très variable.</t>
  </si>
  <si>
    <t>Contrôler la déclaration allergène.</t>
  </si>
  <si>
    <t>Même vigilance pour crème de cacao.</t>
  </si>
  <si>
    <t>Liqueur de caramel</t>
  </si>
  <si>
    <t>Lait ?</t>
  </si>
  <si>
    <t>Certaines recettes contiennent des ingrédients laitiers.</t>
  </si>
  <si>
    <t>Le goût caramel n'implique pas automatiquement le lait.</t>
  </si>
  <si>
    <t>Liqueur / crème de coco</t>
  </si>
  <si>
    <t>La noix de coco n'est pas l'un des 14 fruits à coque de l'annexe II ; les produits composés peuvent toutefois contenir du lait.</t>
  </si>
  <si>
    <t>Contrôler le produit.</t>
  </si>
  <si>
    <t>Ne pas classer automatiquement COCO en FRUITS À COQUE.</t>
  </si>
  <si>
    <t>Bitter / amer / apéritif aromatisé</t>
  </si>
  <si>
    <t>Variable selon produit</t>
  </si>
  <si>
    <t>Recettes complexes et parfois confidentielles.</t>
  </si>
  <si>
    <t>Lire les mentions allergènes du fabricant.</t>
  </si>
  <si>
    <t>Le nom commercial ne suffit pas.</t>
  </si>
  <si>
    <t>Mix cocktail prêt à l'emploi</t>
  </si>
  <si>
    <t>Produit composé pouvant cumuler plusieurs ingrédients.</t>
  </si>
  <si>
    <t>Contrôler systématiquement la fiche technique.</t>
  </si>
  <si>
    <t>Éviter toute déduction à partir de la seule couleur ou saveur.</t>
  </si>
  <si>
    <t>Mixers / sauces</t>
  </si>
  <si>
    <t>Worcestershire sauce</t>
  </si>
  <si>
    <t>Poissons ? ; Gluten ? ; autres</t>
  </si>
  <si>
    <t>Composition variable selon la marque.</t>
  </si>
  <si>
    <t>Peut intervenir dans un Bloody Mary.</t>
  </si>
  <si>
    <t>Préparation Bloody Mary / mix tomate épicé</t>
  </si>
  <si>
    <t>Céleri ? ; Moutarde ? ; autres</t>
  </si>
  <si>
    <t>Les mélanges préparés peuvent contenir sauces, épices et arômes composés.</t>
  </si>
  <si>
    <t>Contrôler chaque référence.</t>
  </si>
  <si>
    <t>Le jus de tomate simple n'est pas équivalent à un mix préparé.</t>
  </si>
  <si>
    <t>Sirop aromatisé industriel</t>
  </si>
  <si>
    <t>Variable selon saveur / marque</t>
  </si>
  <si>
    <t>La dénomination aromatique ne renseigne pas à elle seule sur tous les ingrédients.</t>
  </si>
  <si>
    <t>Ex. noisette, amande, chocolat, biscuit.</t>
  </si>
  <si>
    <t>Purée / coulis de fruits industriel</t>
  </si>
  <si>
    <t>Sulfites ? ; autres selon recette</t>
  </si>
  <si>
    <t>Les préparations industrielles peuvent contenir conservateurs ou ingrédients composés.</t>
  </si>
  <si>
    <t>Contrôler la fiche technique.</t>
  </si>
  <si>
    <t>Un fruit frais seul ne justifie pas ce ?.</t>
  </si>
  <si>
    <t>Jus / nectar industriel</t>
  </si>
  <si>
    <t>Sulfites ? selon produit</t>
  </si>
  <si>
    <t>La formulation et les traitements varient.</t>
  </si>
  <si>
    <t>Ne pas assimiler automatiquement jus frais et jus industriel.</t>
  </si>
  <si>
    <t>Décors / desserts</t>
  </si>
  <si>
    <t>Crème glacée</t>
  </si>
  <si>
    <t>Lait ; Œufs ? ; Fruits à coque ?</t>
  </si>
  <si>
    <t>Le lait est caractéristique d'une crème glacée ; les autres allergènes dépendent du parfum et de la recette.</t>
  </si>
  <si>
    <t>Identifier LAIT et vérifier le reste.</t>
  </si>
  <si>
    <t>À distinguer du sorbet.</t>
  </si>
  <si>
    <t>Sorbet — recette non précisée</t>
  </si>
  <si>
    <t>Œufs ? ; Lait ? ; Fruits à coque ?</t>
  </si>
  <si>
    <t>Des recettes ou contaminations indiquées par le fabricant peuvent varier.</t>
  </si>
  <si>
    <t>Ne pas supposer qu'un sorbet est systématiquement sans allergène.</t>
  </si>
  <si>
    <t>Sauce / nappage chocolat</t>
  </si>
  <si>
    <t>Produit composé.</t>
  </si>
  <si>
    <t>Important pour les cocktails dessert.</t>
  </si>
  <si>
    <t>Biscuit décoratif</t>
  </si>
  <si>
    <t>Gluten ? ; Œufs ? ; Lait ? ; Fruits à coque ?</t>
  </si>
  <si>
    <t>La recette varie selon le biscuit.</t>
  </si>
  <si>
    <t>Contrôler l'étiquette / recette.</t>
  </si>
  <si>
    <t>Le décor fait partie de la recette servie.</t>
  </si>
  <si>
    <t>Macaron décoratif</t>
  </si>
  <si>
    <t>Fruits à coque : amande ; Œufs ; Lait ?</t>
  </si>
  <si>
    <t>Amande et blanc d'œuf sont caractéristiques du macaron classique.</t>
  </si>
  <si>
    <t>Identifier FRUITS À COQUE et ŒUFS ; vérifier LAIT.</t>
  </si>
  <si>
    <t>Le décor ne doit pas être oublié dans la déclaration.</t>
  </si>
  <si>
    <t>Confiserie / bonbon / marshmallow</t>
  </si>
  <si>
    <t>Produit composé ; recette non déductible du nom générique.</t>
  </si>
  <si>
    <t>Inclure les garnitures de verre dans l'analyse.</t>
  </si>
  <si>
    <t>Distillats</t>
  </si>
  <si>
    <t>Whisky / gin / vodka / rhum — distillat simple</t>
  </si>
  <si>
    <t>Pas de GLUTEN ou FRUITS À COQUE automatique du seul fait de la matière première distillée</t>
  </si>
  <si>
    <t>Le règlement prévoit des exceptions pour les céréales et fruits à coque utilisés pour fabriquer des distillats alcooliques.</t>
  </si>
  <si>
    <t>Ne pas ajouter * uniquement à cause de la matière première distillée ; contrôler les ajouts/aromatisations.</t>
  </si>
  <si>
    <t>Une version aromatisée ou crémeuse doit être contrôlée séparément.</t>
  </si>
  <si>
    <t>Spiritueux aromatisé / arrangé / crème de spiritueux</t>
  </si>
  <si>
    <t>Variable selon ajouts</t>
  </si>
  <si>
    <t>Les ingrédients ajoutés après distillation peuvent réintroduire des allergènes.</t>
  </si>
  <si>
    <t>Ne pas appliquer l'exception du distillat aux ingrédients ajoutés.</t>
  </si>
  <si>
    <t>colonne C</t>
  </si>
  <si>
    <t/>
  </si>
  <si>
    <t>OK</t>
  </si>
  <si>
    <t>NOM DU COCKTAIL</t>
  </si>
  <si>
    <t>TYPE DE COCKTAIL</t>
  </si>
  <si>
    <t>****  précisez</t>
  </si>
  <si>
    <t>Exemple &gt; Tumbler (Old Fashioned)</t>
  </si>
  <si>
    <t>FICHE CFA — PRINCIPAUX COCKTAILS ET PROFILS SENSORIELS</t>
  </si>
  <si>
    <t>Lecture : * légère · ** présente · *** marquée · **** très marquée. Couleur indicative : elle varie selon les marques, proportions, glace et garnitures.</t>
  </si>
  <si>
    <t>COCKTAIL</t>
  </si>
  <si>
    <t>PROFIL PRINCIPAL</t>
  </si>
  <si>
    <t>COULEUR DOMINANTE</t>
  </si>
  <si>
    <t>COMPOSITION REPÈRE</t>
  </si>
  <si>
    <t>PRÉCISION</t>
  </si>
  <si>
    <t>FAMILLE / SERVICE</t>
  </si>
  <si>
    <t>Americano</t>
  </si>
  <si>
    <t>AMER</t>
  </si>
  <si>
    <t>Rouge rubis</t>
  </si>
  <si>
    <t>Campari, vermouth rouge, eau gazeuse</t>
  </si>
  <si>
    <t>Amer, léger en alcool, apéritif</t>
  </si>
  <si>
    <t>Apéritif</t>
  </si>
  <si>
    <t>Negroni</t>
  </si>
  <si>
    <t>Gin, Campari, vermouth rouge</t>
  </si>
  <si>
    <t>Amer, puissant, aromatique</t>
  </si>
  <si>
    <t>Negroni Sbagliato</t>
  </si>
  <si>
    <t>***</t>
  </si>
  <si>
    <t>Rouge orangé</t>
  </si>
  <si>
    <t>Campari, vermouth rouge, vin effervescent</t>
  </si>
  <si>
    <t>Amer, plus léger et effervescent</t>
  </si>
  <si>
    <t>Aperol Spritz</t>
  </si>
  <si>
    <t>Orange</t>
  </si>
  <si>
    <t>Aperol, Prosecco, eau gazeuse</t>
  </si>
  <si>
    <t>Amer doux, orange, effervescent</t>
  </si>
  <si>
    <t>Campari Spritz</t>
  </si>
  <si>
    <t>Campari, Prosecco, eau gazeuse</t>
  </si>
  <si>
    <t>Plus amer et plus sec que l'Aperol Spritz</t>
  </si>
  <si>
    <t>Boulevardier</t>
  </si>
  <si>
    <t>Ambre rouge</t>
  </si>
  <si>
    <t>Whisky, Campari, vermouth rouge</t>
  </si>
  <si>
    <t>Amer, rond, puissant</t>
  </si>
  <si>
    <t>Paper Plane</t>
  </si>
  <si>
    <t>Bourbon, Aperol, amaro, citron</t>
  </si>
  <si>
    <t>Amer équilibré par l'acidité</t>
  </si>
  <si>
    <t>Contemporain</t>
  </si>
  <si>
    <t>Naked and Famous</t>
  </si>
  <si>
    <t>Orange rosé</t>
  </si>
  <si>
    <t>Mezcal, Aperol, Chartreuse jaune, citron vert</t>
  </si>
  <si>
    <t>Amer, fumé, acidulé</t>
  </si>
  <si>
    <t>Dry Martini</t>
  </si>
  <si>
    <t>SEC</t>
  </si>
  <si>
    <t>Transparent</t>
  </si>
  <si>
    <t>Gin, vermouth sec</t>
  </si>
  <si>
    <t>Très sec, très peu sucré</t>
  </si>
  <si>
    <t>Short drink</t>
  </si>
  <si>
    <t>Vodka Martini</t>
  </si>
  <si>
    <t>Vodka, vermouth sec</t>
  </si>
  <si>
    <t>Sec, neutre, puissant</t>
  </si>
  <si>
    <t>Gibson</t>
  </si>
  <si>
    <t>Gin, vermouth sec, oignon cocktail</t>
  </si>
  <si>
    <t>Martini sec avec note saline</t>
  </si>
  <si>
    <t>French 75</t>
  </si>
  <si>
    <t>Jaune pâle</t>
  </si>
  <si>
    <t>Gin, citron, sucre, Champagne</t>
  </si>
  <si>
    <t>Sec, frais, effervescent</t>
  </si>
  <si>
    <t>Sparkling</t>
  </si>
  <si>
    <t>Champagne Cocktail</t>
  </si>
  <si>
    <t>Doré</t>
  </si>
  <si>
    <t>Champagne, sucre, bitters, parfois cognac</t>
  </si>
  <si>
    <t>Sec, aromatique, effervescent</t>
  </si>
  <si>
    <t>Margarita</t>
  </si>
  <si>
    <t>ACIDULÉ</t>
  </si>
  <si>
    <t>Vert très pâle</t>
  </si>
  <si>
    <t>Tequila, triple sec, citron vert</t>
  </si>
  <si>
    <t>Acidité franche, agrumes</t>
  </si>
  <si>
    <t>Tommy's Margarita</t>
  </si>
  <si>
    <t>Vert pâle</t>
  </si>
  <si>
    <t>Tequila, citron vert, sirop d'agave</t>
  </si>
  <si>
    <t>Acidulé, plus rond que la Margarita classique</t>
  </si>
  <si>
    <t>Daiquiri</t>
  </si>
  <si>
    <t>Blanc translucide</t>
  </si>
  <si>
    <t>Rhum blanc, citron vert, sucre</t>
  </si>
  <si>
    <t>Vif, frais, équilibré</t>
  </si>
  <si>
    <t>Caipirinha</t>
  </si>
  <si>
    <t>Cachaça, citron vert, sucre</t>
  </si>
  <si>
    <t>Puissant, végétal, acidulé</t>
  </si>
  <si>
    <t>Caipiroska</t>
  </si>
  <si>
    <t>Vodka, citron vert, sucre</t>
  </si>
  <si>
    <t>Version vodka de la Caipirinha</t>
  </si>
  <si>
    <t>Whisky Sour</t>
  </si>
  <si>
    <t>Jaune ambré</t>
  </si>
  <si>
    <t>Whisky, citron, sucre, blanc d'œuf selon recette</t>
  </si>
  <si>
    <t>Acidulé, rond, mousseux si blanc d'œuf</t>
  </si>
  <si>
    <t>Pisco Sour</t>
  </si>
  <si>
    <t>Blanc ivoire</t>
  </si>
  <si>
    <t>Pisco, citron vert, sucre, blanc d'œuf</t>
  </si>
  <si>
    <t>Acidulé, mousseux, aromatique</t>
  </si>
  <si>
    <t>New York Sour</t>
  </si>
  <si>
    <t>Rouge sur jaune</t>
  </si>
  <si>
    <t>Whisky Sour surmonté de vin rouge</t>
  </si>
  <si>
    <t>Acidulé avec note vineuse</t>
  </si>
  <si>
    <t>White Lady</t>
  </si>
  <si>
    <t>Blanc pâle</t>
  </si>
  <si>
    <t>Gin, triple sec, citron</t>
  </si>
  <si>
    <t>Sec, citronné, vif</t>
  </si>
  <si>
    <t>Sidecar</t>
  </si>
  <si>
    <t>Doré pâle</t>
  </si>
  <si>
    <t>Cognac, triple sec, citron</t>
  </si>
  <si>
    <t>Acidulé, chaleureux</t>
  </si>
  <si>
    <t>Cosmopolitan</t>
  </si>
  <si>
    <t>Rose rouge</t>
  </si>
  <si>
    <t>Vodka, triple sec, cranberry, citron vert</t>
  </si>
  <si>
    <t>Acidulé, fruité, sec</t>
  </si>
  <si>
    <t>Tom Collins</t>
  </si>
  <si>
    <t>Jaune très pâle</t>
  </si>
  <si>
    <t>Gin, citron, sucre, soda</t>
  </si>
  <si>
    <t>Frais, acidulé, allongé</t>
  </si>
  <si>
    <t>Gin Fizz</t>
  </si>
  <si>
    <t>Blanc jaune pâle</t>
  </si>
  <si>
    <t>Vif, léger, effervescent</t>
  </si>
  <si>
    <t>Corpse Reviver N°2</t>
  </si>
  <si>
    <t>Gin, Cointreau, Lillet, citron, absinthe</t>
  </si>
  <si>
    <t>Acidulé, aromatique, sec</t>
  </si>
  <si>
    <t>Classique</t>
  </si>
  <si>
    <t>Mojito</t>
  </si>
  <si>
    <t>FRAIS</t>
  </si>
  <si>
    <t>Rhum, citron vert, menthe, sucre, soda</t>
  </si>
  <si>
    <t>Frais, mentholé, allongé</t>
  </si>
  <si>
    <t>South Side</t>
  </si>
  <si>
    <t>Gin, citron, menthe, sucre</t>
  </si>
  <si>
    <t>Frais, herbacé, citronné</t>
  </si>
  <si>
    <t>Paloma</t>
  </si>
  <si>
    <t>Rose pamplemousse</t>
  </si>
  <si>
    <t>Tequila, pamplemousse, citron vert, soda</t>
  </si>
  <si>
    <t>Frais, acidulé, légèrement amer</t>
  </si>
  <si>
    <t>Mint Julep</t>
  </si>
  <si>
    <t>Ambre et vert</t>
  </si>
  <si>
    <t>Bourbon, menthe, sucre, glace pilée</t>
  </si>
  <si>
    <t>Mentholé, puissant, rafraîchissant</t>
  </si>
  <si>
    <t>Julep</t>
  </si>
  <si>
    <t>Gin Basil Smash</t>
  </si>
  <si>
    <t>Vert vif</t>
  </si>
  <si>
    <t>Gin, basilic, citron, sucre</t>
  </si>
  <si>
    <t>Herbacé, citronné, très frais</t>
  </si>
  <si>
    <t>Gin Tonic</t>
  </si>
  <si>
    <t>Gin, tonic</t>
  </si>
  <si>
    <t>Frais, amer léger, effervescent</t>
  </si>
  <si>
    <t>Piña Colada</t>
  </si>
  <si>
    <t>DOUX</t>
  </si>
  <si>
    <t>Blanc crème</t>
  </si>
  <si>
    <t>Rhum, coco, ananas</t>
  </si>
  <si>
    <t>Doux, crémeux, exotique</t>
  </si>
  <si>
    <t>Colada</t>
  </si>
  <si>
    <t>Amaretto Sour</t>
  </si>
  <si>
    <t>Ambre</t>
  </si>
  <si>
    <t>Amaretto, citron, parfois bourbon et blanc d'œuf</t>
  </si>
  <si>
    <t>Doux avec acidité compensatrice</t>
  </si>
  <si>
    <t>Cuba Libre</t>
  </si>
  <si>
    <t>Brun cola</t>
  </si>
  <si>
    <t>Rhum, cola, citron vert</t>
  </si>
  <si>
    <t>Doux, caramel, citron vert</t>
  </si>
  <si>
    <t>Grasshopper</t>
  </si>
  <si>
    <t>Vert pastel</t>
  </si>
  <si>
    <t>Crème de menthe, crème de cacao, crème</t>
  </si>
  <si>
    <t>Doux, mentholé, dessert</t>
  </si>
  <si>
    <t>After-dinner</t>
  </si>
  <si>
    <t>Mai Tai</t>
  </si>
  <si>
    <t>AROMATIQUE</t>
  </si>
  <si>
    <t>Ambre orangé</t>
  </si>
  <si>
    <t>Rhums, curaçao, orgeat, citron vert</t>
  </si>
  <si>
    <t>Complexe, agrumes, amande, rhum</t>
  </si>
  <si>
    <t>Tiki</t>
  </si>
  <si>
    <t>Last Word</t>
  </si>
  <si>
    <t>Vert chartreuse</t>
  </si>
  <si>
    <t>Gin, Chartreuse verte, marasquin, citron vert</t>
  </si>
  <si>
    <t>Herbacé, puissant, acidulé</t>
  </si>
  <si>
    <t>Vieux Carré</t>
  </si>
  <si>
    <t>Brun acajou</t>
  </si>
  <si>
    <t>Rye, cognac, vermouth rouge, Bénédictine, bitters</t>
  </si>
  <si>
    <t>Complexe, épicé, puissant</t>
  </si>
  <si>
    <t>Aviation</t>
  </si>
  <si>
    <t>FLORAL</t>
  </si>
  <si>
    <t>Violet pâle</t>
  </si>
  <si>
    <t>Gin, marasquin, citron, violette selon recette</t>
  </si>
  <si>
    <t>Floral, citronné, délicat</t>
  </si>
  <si>
    <t>Sex on the Beach</t>
  </si>
  <si>
    <t>FRUITÉ</t>
  </si>
  <si>
    <t>Orange rouge</t>
  </si>
  <si>
    <t>Vodka, liqueur de pêche, orange, cranberry</t>
  </si>
  <si>
    <t>Fruité, doux, accessible</t>
  </si>
  <si>
    <t>Long drink</t>
  </si>
  <si>
    <t>Tequila Sunrise</t>
  </si>
  <si>
    <t>Orange rouge dégradé</t>
  </si>
  <si>
    <t>Tequila, orange, grenadine</t>
  </si>
  <si>
    <t>Fruité, doux, visuel</t>
  </si>
  <si>
    <t>Sea Breeze</t>
  </si>
  <si>
    <t>Vodka, cranberry, pamplemousse</t>
  </si>
  <si>
    <t>Fruité, vif, légèrement amer</t>
  </si>
  <si>
    <t>Bay Breeze</t>
  </si>
  <si>
    <t>Rose orangé</t>
  </si>
  <si>
    <t>Vodka, cranberry, ananas</t>
  </si>
  <si>
    <t>Fruité, doux, tropical</t>
  </si>
  <si>
    <t>Screwdriver</t>
  </si>
  <si>
    <t>Vodka, jus d'orange</t>
  </si>
  <si>
    <t>Simple, fruité, doux-acidulé</t>
  </si>
  <si>
    <t>Harvey Wallbanger</t>
  </si>
  <si>
    <t>Orange doré</t>
  </si>
  <si>
    <t>Vodka, orange, Galliano</t>
  </si>
  <si>
    <t>Fruité, vanillé, anisé</t>
  </si>
  <si>
    <t>Bellini</t>
  </si>
  <si>
    <t>Pêche</t>
  </si>
  <si>
    <t>Purée de pêche, Prosecco</t>
  </si>
  <si>
    <t>Fruité, léger, effervescent</t>
  </si>
  <si>
    <t>Mimosa</t>
  </si>
  <si>
    <t>Orange clair</t>
  </si>
  <si>
    <t>Jus d'orange, Champagne ou vin effervescent</t>
  </si>
  <si>
    <t>Fruité, léger, brunch</t>
  </si>
  <si>
    <t>Kir</t>
  </si>
  <si>
    <t>Rouge rosé</t>
  </si>
  <si>
    <t>Vin blanc, crème de cassis</t>
  </si>
  <si>
    <t>Fruité, vineux</t>
  </si>
  <si>
    <t>Kir Royal</t>
  </si>
  <si>
    <t>Champagne, crème de cassis</t>
  </si>
  <si>
    <t>Fruité, effervescent</t>
  </si>
  <si>
    <t>Clover Club</t>
  </si>
  <si>
    <t>Rose</t>
  </si>
  <si>
    <t>Gin, framboise, citron, blanc d'œuf</t>
  </si>
  <si>
    <t>Fruité, acidulé, mousseux</t>
  </si>
  <si>
    <t>Rhum, passion, agrumes</t>
  </si>
  <si>
    <t>Fruité, puissant, tropical</t>
  </si>
  <si>
    <t>Blue Hawaiian</t>
  </si>
  <si>
    <t>Bleu turquoise</t>
  </si>
  <si>
    <t>Rhum ou vodka, curaçao bleu, ananas, coco selon recette</t>
  </si>
  <si>
    <t>Fruité, tropical, visuel</t>
  </si>
  <si>
    <t>Blue Lagoon</t>
  </si>
  <si>
    <t>Bleu vif</t>
  </si>
  <si>
    <t>Vodka, curaçao bleu, limonade ou citron</t>
  </si>
  <si>
    <t>Fruité, citronné, visuel</t>
  </si>
  <si>
    <t>Planter's Punch</t>
  </si>
  <si>
    <t>Rhum, agrumes, sucre, bitters selon recette</t>
  </si>
  <si>
    <t>Fruité, épicé, recette variable</t>
  </si>
  <si>
    <t>Punch</t>
  </si>
  <si>
    <t>Singapore Sling</t>
  </si>
  <si>
    <t>Gin, liqueurs, ananas, citron, grenadine selon recette</t>
  </si>
  <si>
    <t>Fruité, complexe, aromatique</t>
  </si>
  <si>
    <t>Sling</t>
  </si>
  <si>
    <t>French Martini</t>
  </si>
  <si>
    <t>Rose violacé</t>
  </si>
  <si>
    <t>Vodka, liqueur de framboise, ananas</t>
  </si>
  <si>
    <t>Fruité, doux, mousseux</t>
  </si>
  <si>
    <t>Pornstar Martini</t>
  </si>
  <si>
    <t>Jaune orangé</t>
  </si>
  <si>
    <t>Vodka vanillée, fruit de la passion, liqueur, citron vert</t>
  </si>
  <si>
    <t>Exotique, doux-acidulé</t>
  </si>
  <si>
    <t>Bloody Mary</t>
  </si>
  <si>
    <t>ÉPICÉ</t>
  </si>
  <si>
    <t>Rouge tomate</t>
  </si>
  <si>
    <t>Vodka, tomate, citron, sauces, épices</t>
  </si>
  <si>
    <t>Épicé, salé, végétal</t>
  </si>
  <si>
    <t>Bloody Caesar</t>
  </si>
  <si>
    <t>Vodka, mélange tomate-palourde, sauces, épices</t>
  </si>
  <si>
    <t>Épicé, salé, iodé</t>
  </si>
  <si>
    <t>Moscow Mule</t>
  </si>
  <si>
    <t>Vodka, citron vert, ginger beer</t>
  </si>
  <si>
    <t>Frais, gingembre, légèrement piquant</t>
  </si>
  <si>
    <t>Mule</t>
  </si>
  <si>
    <t>Dark 'n' Stormy</t>
  </si>
  <si>
    <t>Brun ambré</t>
  </si>
  <si>
    <t>Rhum brun, ginger beer, citron vert selon recette</t>
  </si>
  <si>
    <t>Épicé, riche, gingembre</t>
  </si>
  <si>
    <t>Espresso Martini</t>
  </si>
  <si>
    <t>CAFÉ</t>
  </si>
  <si>
    <t>Brun foncé</t>
  </si>
  <si>
    <t>Vodka, espresso, liqueur de café</t>
  </si>
  <si>
    <t>Café intense, légèrement doux</t>
  </si>
  <si>
    <t>Black Russian</t>
  </si>
  <si>
    <t>Vodka, liqueur de café</t>
  </si>
  <si>
    <t>Café, puissant, doux</t>
  </si>
  <si>
    <t>Irish Coffee</t>
  </si>
  <si>
    <t>CHAUD</t>
  </si>
  <si>
    <t>Brun café et crème</t>
  </si>
  <si>
    <t>Whiskey irlandais, café, sucre, crème</t>
  </si>
  <si>
    <t>Chaud, café, crémeux</t>
  </si>
  <si>
    <t>Hot drink</t>
  </si>
  <si>
    <t>White Russian</t>
  </si>
  <si>
    <t>CRÉMEUX</t>
  </si>
  <si>
    <t>Beige crème</t>
  </si>
  <si>
    <t>Vodka, liqueur de café, crème</t>
  </si>
  <si>
    <t>Crémeux, doux, café</t>
  </si>
  <si>
    <t>Alexander</t>
  </si>
  <si>
    <t>Crème cacao</t>
  </si>
  <si>
    <t>Gin ou brandy, crème de cacao, crème</t>
  </si>
  <si>
    <t>Crémeux, cacao, dessert</t>
  </si>
  <si>
    <t>Ramos Gin Fizz</t>
  </si>
  <si>
    <t>Gin, agrumes, crème, blanc d'œuf, fleur d'oranger, soda</t>
  </si>
  <si>
    <t>Crémeux, mousseux, floral</t>
  </si>
  <si>
    <t>Old Fashioned</t>
  </si>
  <si>
    <t>ALCOOLISÉ</t>
  </si>
  <si>
    <t>Whisky, sucre, bitters</t>
  </si>
  <si>
    <t>Boisé, sec, légèrement amer</t>
  </si>
  <si>
    <t>Manhattan</t>
  </si>
  <si>
    <t>Rouge acajou</t>
  </si>
  <si>
    <t>Whisky, vermouth rouge, bitters</t>
  </si>
  <si>
    <t>Puissant, aromatique, légèrement doux</t>
  </si>
  <si>
    <t>Long Island Iced Tea</t>
  </si>
  <si>
    <t>Vodka, gin, rhum, tequila, triple sec, citron, cola</t>
  </si>
  <si>
    <t>Très alcoolisé malgré un goût facile</t>
  </si>
  <si>
    <t>Zombie</t>
  </si>
  <si>
    <t>Orange ambré</t>
  </si>
  <si>
    <t>Plusieurs rhums, agrumes, sirops, bitters selon recette</t>
  </si>
  <si>
    <t>Très puissant, fruité, complexe</t>
  </si>
  <si>
    <t>Sazerac</t>
  </si>
  <si>
    <t>Rye ou cognac, sucre, bitters, absinthe</t>
  </si>
  <si>
    <t>Très puissant, sec, anisé</t>
  </si>
  <si>
    <t>Penicillin</t>
  </si>
  <si>
    <t>FUMÉ</t>
  </si>
  <si>
    <t>Jaune miel</t>
  </si>
  <si>
    <t>Scotch, citron, miel-gingembre, whisky tourbé</t>
  </si>
  <si>
    <t>Fumé, épicé, acidulé</t>
  </si>
  <si>
    <t>Dirty Martini</t>
  </si>
  <si>
    <t>SALÉ</t>
  </si>
  <si>
    <t>Translucide trouble</t>
  </si>
  <si>
    <t>Gin ou vodka, vermouth sec, saumure d'olive</t>
  </si>
  <si>
    <t>Sec, salin, puissant</t>
  </si>
  <si>
    <t>REPÈRE PÉDAGOGIQUE : le profil et la couleur sont indicatifs. Une modification de marque, de jus, de sirop, de dilution ou de garniture peut modifier le résultat.</t>
  </si>
  <si>
    <t>PROP Proportionnel La quantité augmente ou diminue avec</t>
  </si>
  <si>
    <t xml:space="preserve"> le nombre de portions / volume produit  4 cl de rhum pour 1 cocktail</t>
  </si>
  <si>
    <t xml:space="preserve"> → 40 cl pour 10</t>
  </si>
  <si>
    <t xml:space="preserve">FIXE (F accepté) La quantité reste identique, quel que soit le facteur de calcul </t>
  </si>
  <si>
    <t xml:space="preserve">QS </t>
  </si>
  <si>
    <t>QS Quantité suffisante Pas de calcul numérique ; on conserve l'indication qualitative glaçons QS, sucre QS, eau QS</t>
  </si>
  <si>
    <t xml:space="preserve">QS Quantité suffisante Pas de calcul numérique ; on conserve l'indication </t>
  </si>
  <si>
    <t>qualitative glaçons QS, sucre QS, eau QS</t>
  </si>
  <si>
    <t>Auteur : Joel Leboucher • Rochefort sur Mer |  Date : 26 Janvier 2026  |  document élaboré avec l'aide de ChatGPT  |  heure : 20h00</t>
  </si>
  <si>
    <t>STYLE_UNIVERSEL — Banque de blocs à copier/coller (Collage spécial &gt; Formats)</t>
  </si>
  <si>
    <t>CONSEILS PRO + MODE D’EMPLOI (standardiser tes fichiers Excel)</t>
  </si>
  <si>
    <t>PACK PRO — 10 CHARTES GRAPHIQUES + MODÈLES DE FICHE (Excel)</t>
  </si>
  <si>
    <t>Méthode : sélectionne un bloc → Copier → dans ton fichier : Collage spécial &gt; Formats (ou Pinceau). Garde 70% de blanc.</t>
  </si>
  <si>
    <t>Objectif : un rendu motivant, lisible, et durable. Sans VBA, sans MFC, compatible Excel 2021.</t>
  </si>
  <si>
    <t>Objectif : documents Excel lisibles, motivants, et cohérents (70% blanc / 20% clair / 10% accent).</t>
  </si>
  <si>
    <t>Bloc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</si>
  <si>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</si>
  <si>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</si>
  <si>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</si>
  <si>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</si>
  <si>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</si>
  <si>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</si>
  <si>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</si>
  <si>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</si>
  <si>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</si>
  <si>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</si>
  <si>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Thème</t>
  </si>
  <si>
    <t>Règle PRO</t>
  </si>
  <si>
    <t>Comment faire</t>
  </si>
  <si>
    <t>À éviter</t>
  </si>
  <si>
    <t>Impact</t>
  </si>
  <si>
    <t>Feuille</t>
  </si>
  <si>
    <t>Usage conseillé</t>
  </si>
  <si>
    <t>Bandeau Titre</t>
  </si>
  <si>
    <t>TITRE</t>
  </si>
  <si>
    <t>Respiration</t>
  </si>
  <si>
    <t>70% blanc</t>
  </si>
  <si>
    <t>Zones de saisie et tableau = fond blanc</t>
  </si>
  <si>
    <t>Tout colorer</t>
  </si>
  <si>
    <t>Lisibilité + envie d’utiliser</t>
  </si>
  <si>
    <t>MODELE_01</t>
  </si>
  <si>
    <t>CITRON • ORANGE • OLIVE</t>
  </si>
  <si>
    <t>Dynamique et chaleureux. Idéal fiches pédagogiques et repères visuels.</t>
  </si>
  <si>
    <t>Sous-titre</t>
  </si>
  <si>
    <t>Couleurs</t>
  </si>
  <si>
    <t>20% clair</t>
  </si>
  <si>
    <t>Encarts légers (panel) et zébrage doux</t>
  </si>
  <si>
    <t>Aplats saturés</t>
  </si>
  <si>
    <t>Confort visuel</t>
  </si>
  <si>
    <t>MODELE_02</t>
  </si>
  <si>
    <t>ROSE • VIOLET • BEIGE</t>
  </si>
  <si>
    <t>Moderne, formation, fiches d’animation / ateliers.</t>
  </si>
  <si>
    <t>En-tête Section</t>
  </si>
  <si>
    <t>SECTION</t>
  </si>
  <si>
    <t>Accents</t>
  </si>
  <si>
    <t>10% max</t>
  </si>
  <si>
    <t>Actions, repères, badges uniquement</t>
  </si>
  <si>
    <t>Trop d’accents</t>
  </si>
  <si>
    <t>Look pro</t>
  </si>
  <si>
    <t>MODELE_03</t>
  </si>
  <si>
    <t>CORAIL • ORANGE • MENTHE</t>
  </si>
  <si>
    <t>Énergique mais maîtrisé. Très bon pour tableaux et actions.</t>
  </si>
  <si>
    <t>En-tête Tableau</t>
  </si>
  <si>
    <t>EN-TÊTE</t>
  </si>
  <si>
    <t>Titres</t>
  </si>
  <si>
    <t>1 bandeau + 1 sous-titre</t>
  </si>
  <si>
    <t>Bandeau foncé, sous-titre blanc</t>
  </si>
  <si>
    <t>Multiplication de titres</t>
  </si>
  <si>
    <t>Structure immédiate</t>
  </si>
  <si>
    <t>MODELE_04</t>
  </si>
  <si>
    <t>OLIVE • BEIGE • AMBRÉ</t>
  </si>
  <si>
    <t>Sobriété naturelle. Parfait documents HACCP / production.</t>
  </si>
  <si>
    <t>saisie</t>
  </si>
  <si>
    <t>Tableaux</t>
  </si>
  <si>
    <t>Zébrage léger</t>
  </si>
  <si>
    <t>1 ligne sur 2 très clair</t>
  </si>
  <si>
    <t>Bordures noires partout</t>
  </si>
  <si>
    <t>Lecture rapide</t>
  </si>
  <si>
    <t>MODELE_05</t>
  </si>
  <si>
    <t>FOREST • LIME • CAFÉ</t>
  </si>
  <si>
    <t>Identité forte “nature / terroir”. Très pro sur fond blanc.</t>
  </si>
  <si>
    <t>Ligne zébrée</t>
  </si>
  <si>
    <t>ligne</t>
  </si>
  <si>
    <t>Saisie vs calcul</t>
  </si>
  <si>
    <t>Saisie = blanc</t>
  </si>
  <si>
    <t>Calcul = teinté clair, Total = surligné</t>
  </si>
  <si>
    <t>Tout au même style</t>
  </si>
  <si>
    <t>Compréhension</t>
  </si>
  <si>
    <t>MODELE_06</t>
  </si>
  <si>
    <t>FRAMBOISE • SOLEIL • POMME</t>
  </si>
  <si>
    <t>Très vivant. À utiliser en petites touches (boutons / alertes).</t>
  </si>
  <si>
    <t>Total / Résultat</t>
  </si>
  <si>
    <t>Bordures</t>
  </si>
  <si>
    <t>Gris doux</t>
  </si>
  <si>
    <t>Bordures fines + une ligne épaisse pour Totaux</t>
  </si>
  <si>
    <t>Noir dur</t>
  </si>
  <si>
    <t>Modernité</t>
  </si>
  <si>
    <t>MODELE_07</t>
  </si>
  <si>
    <t>SLATE • COFFEE • CERAMIC</t>
  </si>
  <si>
    <t>Premium, sobre, excellente lisibilité. Top pour fiches “pack pro”.</t>
  </si>
  <si>
    <t>Encart Note</t>
  </si>
  <si>
    <t>Ergonomie</t>
  </si>
  <si>
    <t>Freeze panes</t>
  </si>
  <si>
    <t>Figer la ligne d’en-tête du tableau</t>
  </si>
  <si>
    <t>En-têtes qui disparaissent</t>
  </si>
  <si>
    <t>Productivité</t>
  </si>
  <si>
    <t>MODELE_08</t>
  </si>
  <si>
    <t>FOREST (VARIANTE) • CAFÉ</t>
  </si>
  <si>
    <t>Variante plus premium : bandeaux bruns, accents verts.</t>
  </si>
  <si>
    <t>Encart Alerte</t>
  </si>
  <si>
    <t>Alerte</t>
  </si>
  <si>
    <t>Rare</t>
  </si>
  <si>
    <t>Alerte = vraie erreur / risque</t>
  </si>
  <si>
    <t>Alerte partout</t>
  </si>
  <si>
    <t>Crédibilité</t>
  </si>
  <si>
    <t>MODELE_09</t>
  </si>
  <si>
    <t>SAUGE • SABLE • CIEL • CORAIL</t>
  </si>
  <si>
    <t>Pastel pro, doux. Bon équilibre lecture / repères.</t>
  </si>
  <si>
    <t>Bouton / Action</t>
  </si>
  <si>
    <t>Réutilisation</t>
  </si>
  <si>
    <t>STYLE_UNIVERSEL</t>
  </si>
  <si>
    <t>Copier bloc → Collage spécial &gt; Formats</t>
  </si>
  <si>
    <t>Copier tout le tableau</t>
  </si>
  <si>
    <t>Rapide + propre</t>
  </si>
  <si>
    <t>MODELE_10</t>
  </si>
  <si>
    <t>CHARCOAL • GRIS • ORANGE</t>
  </si>
  <si>
    <t>Corporate moderne. Orange en accent pour CTA et repères.</t>
  </si>
  <si>
    <t>Astuce PRO : n’utilise pas la couleur pour “remplir” le document. Utilise la couleur pour guider l’œil (repères, actions, sections).</t>
  </si>
  <si>
    <t>Banque de blocs (bandeau, en-têtes, tableau, note, alerte) pour copier/coller.</t>
  </si>
  <si>
    <t>Copie un bloc → Collage spécial &gt; Formats (ou pinceau).</t>
  </si>
  <si>
    <t>MODÈLE 01 — CITRON • ORANGE • OLIVE</t>
  </si>
  <si>
    <t>CONSEILS_MODE_EMPLOI</t>
  </si>
  <si>
    <t>Conseils PRO + mode d’emploi pour standardiser tous tes fichiers.</t>
  </si>
  <si>
    <t>Check-list + erreurs à éviter.</t>
  </si>
  <si>
    <t>Modèle de fiche Excel (document de travail) — zones blanches = saisie / couleurs = repères</t>
  </si>
  <si>
    <t>1) Paramètres (rapides)</t>
  </si>
  <si>
    <t>Référence</t>
  </si>
  <si>
    <t>v1.0</t>
  </si>
  <si>
    <t>Date</t>
  </si>
  <si>
    <t>26/01/2026</t>
  </si>
  <si>
    <t>Modèle 01</t>
  </si>
  <si>
    <t>Type de fiche</t>
  </si>
  <si>
    <t>Recette / Cocktail / HACCP</t>
  </si>
  <si>
    <t>Service</t>
  </si>
  <si>
    <t>Portions</t>
  </si>
  <si>
    <t>Durée</t>
  </si>
  <si>
    <t>Brouillon</t>
  </si>
  <si>
    <t>2) Tableau principal</t>
  </si>
  <si>
    <t>Libellé</t>
  </si>
  <si>
    <t>Unité</t>
  </si>
  <si>
    <t>Qté</t>
  </si>
  <si>
    <t>PU</t>
  </si>
  <si>
    <t>Total</t>
  </si>
  <si>
    <t>Catégorie</t>
  </si>
  <si>
    <t>Remarque</t>
  </si>
  <si>
    <t>Produit / ingrédient</t>
  </si>
  <si>
    <t>Denrée</t>
  </si>
  <si>
    <t>Saisie</t>
  </si>
  <si>
    <t>Autre élément</t>
  </si>
  <si>
    <t>Boisson</t>
  </si>
  <si>
    <t>3) Notes / Procédure / Rappels pédagogiques</t>
  </si>
  <si>
    <t>► Étapes principales : ...
◄ Notes formateur : ...
▲ Astuce : conserver 70% de blanc pour la zone de travail.
▼ Attention : utiliser la couleur uniquement comme repère.</t>
  </si>
  <si>
    <t>Palette &amp; rôles (copiable pour ta charte graphique)</t>
  </si>
  <si>
    <t>Rôle</t>
  </si>
  <si>
    <t>Couleur</t>
  </si>
  <si>
    <t>HEX</t>
  </si>
  <si>
    <t>Utilisation</t>
  </si>
  <si>
    <t>Dark (bandeau)</t>
  </si>
  <si>
    <t>#5F8302</t>
  </si>
  <si>
    <t>Titre principal + numéros de modèle</t>
  </si>
  <si>
    <t>Deep (sections)</t>
  </si>
  <si>
    <t>#7AA802</t>
  </si>
  <si>
    <t>En-têtes de sections (Paramètres / Tableau / Notes)</t>
  </si>
  <si>
    <t>Mid (repères doux)</t>
  </si>
  <si>
    <t>#C7DB00</t>
  </si>
  <si>
    <t>Sous-titres, badges, repères doux</t>
  </si>
  <si>
    <t>Panel (encarts)</t>
  </si>
  <si>
    <t>#F6FBE8</t>
  </si>
  <si>
    <t>Notes, encarts pédagogiques, cadres</t>
  </si>
  <si>
    <t>Accent 1 (action)</t>
  </si>
  <si>
    <t>#F78B2D</t>
  </si>
  <si>
    <t>Boutons, étapes importantes, liens</t>
  </si>
  <si>
    <t>Accent 2 (focus)</t>
  </si>
  <si>
    <t>#E4B600</t>
  </si>
  <si>
    <t>Surlignage léger, repère secondaire</t>
  </si>
  <si>
    <t>Fond (travail)</t>
  </si>
  <si>
    <t>#FFFFFF</t>
  </si>
  <si>
    <t>Saisie utilisateur / tableau</t>
  </si>
  <si>
    <t>#D1D5DB</t>
  </si>
  <si>
    <t>Traits fins (éviter le noir)</t>
  </si>
  <si>
    <t>Texte</t>
  </si>
  <si>
    <t>#1F2937</t>
  </si>
  <si>
    <t>Texte standard</t>
  </si>
  <si>
    <t>Texte secondaire</t>
  </si>
  <si>
    <t>#6B7280</t>
  </si>
  <si>
    <t>Aide / commentaires</t>
  </si>
  <si>
    <t>MODÈLE 02 — ROSE • VIOLET • BEIGE</t>
  </si>
  <si>
    <t>Modèle 02</t>
  </si>
  <si>
    <t>#6C3E93</t>
  </si>
  <si>
    <t>#8A4FBD</t>
  </si>
  <si>
    <t>#E5D7C3</t>
  </si>
  <si>
    <t>#F3EBDD</t>
  </si>
  <si>
    <t>#FF2E63</t>
  </si>
  <si>
    <t>MODÈLE 03 — CORAIL • ORANGE • MENTHE</t>
  </si>
  <si>
    <t>Modèle 03</t>
  </si>
  <si>
    <t>#C7330B</t>
  </si>
  <si>
    <t>#FF420E</t>
  </si>
  <si>
    <t>#F98866</t>
  </si>
  <si>
    <t>#FFF3EE</t>
  </si>
  <si>
    <t>#80BD9E</t>
  </si>
  <si>
    <t>#89DA59</t>
  </si>
  <si>
    <t>MODÈLE 04 — OLIVE • BEIGE • AMBRÉ</t>
  </si>
  <si>
    <t>Modèle 04</t>
  </si>
  <si>
    <t>#65705E</t>
  </si>
  <si>
    <t>#829079</t>
  </si>
  <si>
    <t>#EDE6B9</t>
  </si>
  <si>
    <t>#F7F5E3</t>
  </si>
  <si>
    <t>#B9925E</t>
  </si>
  <si>
    <t>MODÈLE 05 — FOREST • LIME • CAFÉ</t>
  </si>
  <si>
    <t>Modèle 05</t>
  </si>
  <si>
    <t>#243700</t>
  </si>
  <si>
    <t>#2E4600</t>
  </si>
  <si>
    <t>#486B00</t>
  </si>
  <si>
    <t>#EEF3E5</t>
  </si>
  <si>
    <t>#A2C523</t>
  </si>
  <si>
    <t>#7D4427</t>
  </si>
  <si>
    <t>MODÈLE 06 — FRAMBOISE • SOLEIL • POMME</t>
  </si>
  <si>
    <t>Modèle 06</t>
  </si>
  <si>
    <t>#BF1D39</t>
  </si>
  <si>
    <t>#F52549</t>
  </si>
  <si>
    <t>#FA6775</t>
  </si>
  <si>
    <t>#FFF1F3</t>
  </si>
  <si>
    <t>#FFD64D</t>
  </si>
  <si>
    <t>#9BC01C</t>
  </si>
  <si>
    <t>MODÈLE 07 — SLATE • COFFEE • CERAMIC</t>
  </si>
  <si>
    <t>Modèle 07</t>
  </si>
  <si>
    <t>#4C5558</t>
  </si>
  <si>
    <t>#626D71</t>
  </si>
  <si>
    <t>#DDBC95</t>
  </si>
  <si>
    <t>#F2F0EA</t>
  </si>
  <si>
    <t>#B38867</t>
  </si>
  <si>
    <t>#CDCDC0</t>
  </si>
  <si>
    <t>MODÈLE 08 — FOREST (VARIANTE) • CAFÉ</t>
  </si>
  <si>
    <t>Modèle 08</t>
  </si>
  <si>
    <t>#62351E</t>
  </si>
  <si>
    <t>#F5EFEA</t>
  </si>
  <si>
    <t>MODÈLE 09 — SAUGE • SABLE • CIEL • CORAIL</t>
  </si>
  <si>
    <t>Modèle 09</t>
  </si>
  <si>
    <t>#72859B</t>
  </si>
  <si>
    <t>#92AAC7</t>
  </si>
  <si>
    <t>#E2DFA2</t>
  </si>
  <si>
    <t>#F6F6EE</t>
  </si>
  <si>
    <t>#ED5752</t>
  </si>
  <si>
    <t>#A1BE95</t>
  </si>
  <si>
    <t>Bar/cocktails : vin et dérivés = contrôle étiquette ; « crème de cassis/menthe/cacao » n’implique pas automatiquement du lait. Les distillats simples ne déclenchent pas gluten/fruits à coque du seul fait de leur matière première.</t>
  </si>
  <si>
    <t>2. La colonne C ajoute * si au moins un allergène est certain ; sinon ? lorsqu’un contrôle reste nécessaire.</t>
  </si>
  <si>
    <t>3. Un produit ne doit jamais afficher « * ? » : * est prioritaire dès qu’un allergène certain est identifié.</t>
  </si>
  <si>
    <t>4. Les recherches utilisent des blocs de termes et des exclusions destinées à limiter les faux positifs.</t>
  </si>
  <si>
    <t>5. La base technique se trouve à droite sur la même feuille : alertes, suspicions et exclusions sont distinctes.</t>
  </si>
  <si>
    <t>6. Pour un cocktail, saisir de préférence les ingrédients réellement utilisés : le nom seul ne garantit pas la recette ni la marque.</t>
  </si>
  <si>
    <t>7. En bar, « crème de cassis / menthe / cacao… » ne signifie pas automatiquement LAIT ; à l’inverse « crème de whisky / Irish cream » implique un contrôle lait renforcé.</t>
  </si>
  <si>
    <t>8. ? signifie « vérifier l’étiquette ou la fiche technique » ; ce symbole n’affirme pas que l’allergène est présent.</t>
  </si>
  <si>
    <t>Beurre d’arachide</t>
  </si>
  <si>
    <t>Arachides — * ; aucun LAIT automatique</t>
  </si>
  <si>
    <t>Bar / faux positif « beurre »</t>
  </si>
  <si>
    <t>Crème de cassis</t>
  </si>
  <si>
    <t>LAIT — ? à contrôler ; jamais * sur le seul mot « crème »</t>
  </si>
  <si>
    <t>Bar / liqueur</t>
  </si>
  <si>
    <t>NOM DU COCKTAIL N°2</t>
  </si>
  <si>
    <t>NOM DU COCKTAIL N°3</t>
  </si>
  <si>
    <t>NOM DU COCKTAIL N°4</t>
  </si>
  <si>
    <t>NOM DU COCKTAIL N°5</t>
  </si>
  <si>
    <t>NOM DU COCKTAIL N°6</t>
  </si>
  <si>
    <t>NOM DU COCKTAIL N°7</t>
  </si>
  <si>
    <t>NOM DU COCKTAIL N°8</t>
  </si>
  <si>
    <t>NOM DU COCKTAIL N°9</t>
  </si>
  <si>
    <t>NOM DU COCKTAIL N°10</t>
  </si>
  <si>
    <t>Auteur : Joel Leboucher • Rochefort sur Mer | Version actualisée : 6 Septembre 2026 | Document réalisé avec l'aide de ChatGPT</t>
  </si>
  <si>
    <t>VOLUME SERVI précisez</t>
  </si>
  <si>
    <t xml:space="preserve">Préparer </t>
  </si>
  <si>
    <t>Exemple Tumbler (Old Fashioned)</t>
  </si>
  <si>
    <t>Exemple Doseur / jigger ; cuillère à mélange ; bec verseur ; pince à glaçons</t>
  </si>
  <si>
    <t>MOJITO</t>
  </si>
  <si>
    <t>ALL DAY</t>
  </si>
  <si>
    <t>vert pâle</t>
  </si>
  <si>
    <t>** frais acidulé</t>
  </si>
  <si>
    <t>Long drink frais à base de rhum, citron vert, menthe et eau gazeuse</t>
  </si>
  <si>
    <t>Référence classique — adaptation CFA</t>
  </si>
  <si>
    <t>https://iba-world.com/</t>
  </si>
  <si>
    <t>Base alcoolique</t>
  </si>
  <si>
    <t>Jus de citron vert</t>
  </si>
  <si>
    <t>Fraîchement pressé</t>
  </si>
  <si>
    <t>Sirop de sucre de canne</t>
  </si>
  <si>
    <t>Menthe fraîche</t>
  </si>
  <si>
    <t>Feuilles entières</t>
  </si>
  <si>
    <t>Préparer le Highball et le poste de travail.</t>
  </si>
  <si>
    <t>Déposer la menthe dans le verre sans la broyer excessivement.</t>
  </si>
  <si>
    <t>Ajouter le jus de citron vert et le sirop de sucre.</t>
  </si>
  <si>
    <t>Verser le rhum blanc.</t>
  </si>
  <si>
    <t>Remplir le verre de glace pilée ou de glaçons.</t>
  </si>
  <si>
    <t>Compléter avec l’eau gazeuse.</t>
  </si>
  <si>
    <t>Mélanger délicatement de bas en haut.</t>
  </si>
  <si>
    <t>Contrôler la présentation et servir immédiatement.</t>
  </si>
  <si>
    <t>Doseur / jigger ; cuillère à mélange ; pilon léger ; pince à glaçons</t>
  </si>
  <si>
    <t>MARGARITA</t>
  </si>
  <si>
    <t>jaune-vert pâle</t>
  </si>
  <si>
    <t>*** acidulé</t>
  </si>
  <si>
    <t>Cocktail court à base de tequila, triple sec et citron vert</t>
  </si>
  <si>
    <t>Tequila blanco</t>
  </si>
  <si>
    <t>Sel fin</t>
  </si>
  <si>
    <t>Pour givrer le bord</t>
  </si>
  <si>
    <t>Pour le shaker</t>
  </si>
  <si>
    <t>Refroidir la coupette.</t>
  </si>
  <si>
    <t>Humidifier partiellement le bord avec du citron vert.</t>
  </si>
  <si>
    <t>Givrer finement le bord au sel.</t>
  </si>
  <si>
    <t>Verser tequila, triple sec et jus de citron vert dans le shaker.</t>
  </si>
  <si>
    <t>Ajouter la glace.</t>
  </si>
  <si>
    <t>Shaker énergiquement.</t>
  </si>
  <si>
    <t>Filtrer dans la coupette refroidie.</t>
  </si>
  <si>
    <t>Contrôler l’équilibre, la propreté du verre et servir.</t>
  </si>
  <si>
    <t>Doseur / jigger ; shaker ; passoire ; soucoupe pour le sel</t>
  </si>
  <si>
    <t>DAIQUIRI</t>
  </si>
  <si>
    <t>blanc translucide</t>
  </si>
  <si>
    <t>Sour classique à base de rhum blanc, citron vert et sucre</t>
  </si>
  <si>
    <t>Zeste de citron vert</t>
  </si>
  <si>
    <t>Décoration</t>
  </si>
  <si>
    <t>Verser le rhum, le jus de citron vert et le sirop dans le shaker.</t>
  </si>
  <si>
    <t>Shaker franchement pour refroidir et diluer.</t>
  </si>
  <si>
    <t>Goûter visuellement l’équilibre de la préparation.</t>
  </si>
  <si>
    <t>Filtrer finement dans la coupette.</t>
  </si>
  <si>
    <t>Ajouter le zeste de citron vert.</t>
  </si>
  <si>
    <t>Servir immédiatement.</t>
  </si>
  <si>
    <t>Doseur / jigger ; shaker ; passoire ; passoire fine</t>
  </si>
  <si>
    <t>NEGRONI</t>
  </si>
  <si>
    <t>rouge rubis</t>
  </si>
  <si>
    <t>**** amer</t>
  </si>
  <si>
    <t>Apéritif classique équilibrant gin, Bitter et vermouth rouge</t>
  </si>
  <si>
    <t>Vermouth rouge?</t>
  </si>
  <si>
    <t>Vérifier l’étiquette fournisseur</t>
  </si>
  <si>
    <t>Zeste d'orange</t>
  </si>
  <si>
    <t>Préparer le tumbler et le poste de travail.</t>
  </si>
  <si>
    <t>Remplir le verre de glaçons.</t>
  </si>
  <si>
    <t>Doser le gin.</t>
  </si>
  <si>
    <t>Ajouter le Bitter Campari.</t>
  </si>
  <si>
    <t>Ajouter le vermouth rouge.</t>
  </si>
  <si>
    <t>Mélanger à la cuillère sans excès.</t>
  </si>
  <si>
    <t>Exprimer le zeste d’orange au-dessus du verre puis le déposer.</t>
  </si>
  <si>
    <t>Contrôler la dilution et servir.</t>
  </si>
  <si>
    <t>Doseur / jigger ; cuillère à mélange ; pince à glaçons</t>
  </si>
  <si>
    <t>PIÑA COLADA</t>
  </si>
  <si>
    <t>FROZEN / LONG DRINK</t>
  </si>
  <si>
    <t>blanc crème</t>
  </si>
  <si>
    <t>*** doux fruité</t>
  </si>
  <si>
    <t>Cocktail tropical crémeux à base de rhum, ananas et coco</t>
  </si>
  <si>
    <t>Jus d'ananas</t>
  </si>
  <si>
    <t>Vérifier la composition selon la marque</t>
  </si>
  <si>
    <t>Tranche d'ananas</t>
  </si>
  <si>
    <t>Préparer le Hurricane et le blender.</t>
  </si>
  <si>
    <t>Verser le rhum, le jus d’ananas et la crème de coco.</t>
  </si>
  <si>
    <t>Mixer jusqu’à obtenir une texture homogène et froide.</t>
  </si>
  <si>
    <t>Verser dans le Hurricane.</t>
  </si>
  <si>
    <t>Ajuster la texture sans sur-diluer.</t>
  </si>
  <si>
    <t>Ajouter la tranche d’ananas.</t>
  </si>
  <si>
    <t>Servir immédiatement avec une paille adaptée.</t>
  </si>
  <si>
    <t>Doseur / jigger ; blender ; pince à glaçons</t>
  </si>
  <si>
    <t>MOSCOW MULE</t>
  </si>
  <si>
    <t>jaune pâle translucide</t>
  </si>
  <si>
    <t>*** frais épicé</t>
  </si>
  <si>
    <t>Long drink à base de vodka, ginger beer et citron vert</t>
  </si>
  <si>
    <t>Ginger beer</t>
  </si>
  <si>
    <t>Vérifier la marque utilisée</t>
  </si>
  <si>
    <t>Tranche de citron vert</t>
  </si>
  <si>
    <t>Préparer le Copper Mug.</t>
  </si>
  <si>
    <t>Remplir le mug de glaçons.</t>
  </si>
  <si>
    <t>Verser la vodka.</t>
  </si>
  <si>
    <t>Ajouter le jus de citron vert.</t>
  </si>
  <si>
    <t>Compléter avec le ginger beer.</t>
  </si>
  <si>
    <t>Mélanger délicatement.</t>
  </si>
  <si>
    <t>Ajouter la tranche de citron vert.</t>
  </si>
  <si>
    <t>Contrôler la fraîcheur et servir.</t>
  </si>
  <si>
    <t>COSMOPOLITAN</t>
  </si>
  <si>
    <t>rose framboise</t>
  </si>
  <si>
    <t>*** acidulé fruité</t>
  </si>
  <si>
    <t>Cocktail court fruité à base de vodka citron, triple sec, cranberry et citron vert</t>
  </si>
  <si>
    <t>Vodka citron</t>
  </si>
  <si>
    <t>Jus de cranberry</t>
  </si>
  <si>
    <t>Refroidir le verre Martini.</t>
  </si>
  <si>
    <t>Verser la vodka citron dans le shaker.</t>
  </si>
  <si>
    <t>Ajouter le triple sec, le cranberry et le citron vert.</t>
  </si>
  <si>
    <t>Filtrer finement dans le verre refroidi.</t>
  </si>
  <si>
    <t>Exprimer le zeste d’orange au-dessus du cocktail.</t>
  </si>
  <si>
    <t>Contrôler la couleur et servir.</t>
  </si>
  <si>
    <t>WHISKY SOUR</t>
  </si>
  <si>
    <t>ambré pâle</t>
  </si>
  <si>
    <t>*** acidulé boisé</t>
  </si>
  <si>
    <t>Sour à base de bourbon, citron et sucre, avec blanc d'œuf</t>
  </si>
  <si>
    <t>Jus de citron jaune</t>
  </si>
  <si>
    <t>Sirop de sucre</t>
  </si>
  <si>
    <t>Blanc d'œuf*</t>
  </si>
  <si>
    <t>Œufs *</t>
  </si>
  <si>
    <t>Allergène avéré</t>
  </si>
  <si>
    <t>Zeste de citron</t>
  </si>
  <si>
    <t>Préparer le tumbler et le shaker.</t>
  </si>
  <si>
    <t>Verser bourbon, citron, sirop et blanc d’œuf.</t>
  </si>
  <si>
    <t>Effectuer un premier shake sans glace pour émulsionner.</t>
  </si>
  <si>
    <t>Ajouter la glace puis shaker de nouveau.</t>
  </si>
  <si>
    <t>Remplir le tumbler de glace fraîche si service on the rocks.</t>
  </si>
  <si>
    <t>Filtrer la préparation dans le verre.</t>
  </si>
  <si>
    <t>Ajouter le zeste de citron.</t>
  </si>
  <si>
    <t>Contrôler la mousse, l’équilibre et servir.</t>
  </si>
  <si>
    <t>Doseur / jigger ; shaker ; passoire ; pince à glaçons</t>
  </si>
  <si>
    <t>VIRGIN MOJITO</t>
  </si>
  <si>
    <t>vert pâle translucide</t>
  </si>
  <si>
    <t>Cocktail sans alcool à base de citron vert, menthe, sucre et eau gazeuse</t>
  </si>
  <si>
    <t>Adaptation pédagogique CFA — sans alcool</t>
  </si>
  <si>
    <t>Déposer la menthe dans le verre.</t>
  </si>
  <si>
    <t>Ajouter le jus de citron vert et le sirop.</t>
  </si>
  <si>
    <t>Remplir le verre de glace.</t>
  </si>
  <si>
    <t>Vérifier l’équilibre acidité / sucre.</t>
  </si>
  <si>
    <t>Tranche d'orange</t>
  </si>
  <si>
    <t>3 — FICHES CALCULÉES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</si>
</sst>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&quot; %&quot;"/>
    <numFmt numFmtId="165" formatCode="#,##0.00\ &quot;€&quot;"/>
    <numFmt numFmtId="166" formatCode="0.###"/>
    <numFmt numFmtId="167" formatCode="0&quot; %&quot;"/>
    <numFmt numFmtId="168" formatCode="0.000"/>
  </numFmts>
  <fonts count="1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rlito"/>
      <family val="2"/>
    </font>
    <font>
      <b/>
      <sz val="16"/>
      <color rgb="FFFFFFFF"/>
      <name val="Calibri"/>
      <family val="2"/>
    </font>
    <font>
      <b/>
      <sz val="12"/>
      <name val="Carlito"/>
      <family val="2"/>
    </font>
    <font>
      <sz val="12"/>
      <color rgb="FF2F3437"/>
      <name val="Calibri"/>
      <family val="2"/>
    </font>
    <font>
      <sz val="10"/>
      <color rgb="FF666666"/>
      <name val="Calibri"/>
      <family val="2"/>
    </font>
    <font>
      <b/>
      <sz val="14"/>
      <color rgb="FF8F5848"/>
      <name val="Calibri"/>
      <family val="2"/>
    </font>
    <font>
      <b/>
      <sz val="12"/>
      <color rgb="FF8F5848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2"/>
      <color rgb="FF666666"/>
      <name val="Calibri"/>
      <family val="2"/>
    </font>
    <font>
      <sz val="11"/>
      <color theme="1"/>
      <name val="Calibri"/>
      <family val="2"/>
    </font>
    <font>
      <b/>
      <sz val="10"/>
      <color rgb="FF1F1F1F"/>
      <name val="Calibri"/>
      <family val="2"/>
    </font>
    <font>
      <b/>
      <sz val="14"/>
      <color rgb="FFFFFFFF"/>
      <name val="Calibri"/>
      <family val="2"/>
    </font>
    <font>
      <b/>
      <sz val="12"/>
      <color rgb="FFFFFFFF"/>
      <name val="Calibri"/>
      <family val="2"/>
    </font>
    <font>
      <b/>
      <sz val="10"/>
      <color rgb="FF666666"/>
      <name val="Calibri"/>
      <family val="2"/>
    </font>
    <font>
      <b/>
      <sz val="11"/>
      <color rgb="FF666666"/>
      <name val="Calibri"/>
      <family val="2"/>
    </font>
    <font>
      <b/>
      <sz val="12"/>
      <color rgb="FF2F3437"/>
      <name val="Calibri"/>
      <family val="2"/>
    </font>
    <font>
      <sz val="11"/>
      <color theme="9" tint="-0.49967955565050204"/>
      <name val="Calibri"/>
      <family val="2"/>
    </font>
    <font>
      <sz val="11"/>
      <color rgb="FF666666"/>
      <name val="Calibri"/>
      <family val="2"/>
    </font>
    <font>
      <sz val="11"/>
      <color rgb="FF7030A0"/>
      <name val="Calibri"/>
      <family val="2"/>
    </font>
    <font>
      <b/>
      <sz val="12"/>
      <color rgb="FFC00000"/>
      <name val="Calibri"/>
      <family val="2"/>
    </font>
    <font>
      <sz val="11"/>
      <name val="Calibri"/>
      <family val="2"/>
      <scheme val="minor"/>
    </font>
    <font>
      <b/>
      <sz val="14"/>
      <color theme="0"/>
      <name val="Calibri"/>
      <family val="2"/>
    </font>
    <font>
      <b/>
      <i/>
      <sz val="14"/>
      <color rgb="FFFFFFFF"/>
      <name val="Calibri"/>
      <family val="2"/>
    </font>
    <font>
      <b/>
      <sz val="16"/>
      <color rgb="FF2F3437"/>
      <name val="Calibri"/>
      <family val="2"/>
    </font>
    <font>
      <b/>
      <sz val="14"/>
      <color rgb="FF2F3437"/>
      <name val="Calibri"/>
      <family val="2"/>
    </font>
    <font>
      <b/>
      <sz val="14"/>
      <color rgb="FF000000"/>
      <name val="Calibri"/>
      <family val="2"/>
    </font>
    <font>
      <b/>
      <sz val="14"/>
      <name val="Calibri"/>
      <family val="2"/>
    </font>
    <font>
      <sz val="12"/>
      <color theme="0"/>
      <name val="Calibri"/>
      <family val="2"/>
    </font>
    <font>
      <b/>
      <sz val="12"/>
      <color rgb="FF7030A0"/>
      <name val="Calibri"/>
      <family val="2"/>
    </font>
    <font>
      <b/>
      <sz val="12"/>
      <color rgb="FF0000FF"/>
      <name val="Calibri"/>
      <family val="2"/>
    </font>
    <font>
      <sz val="11"/>
      <color rgb="FFC00000"/>
      <name val="Calibri"/>
      <family val="2"/>
    </font>
    <font>
      <sz val="12"/>
      <color rgb="FF0033CC"/>
      <name val="Carlito"/>
      <family val="2"/>
    </font>
    <font>
      <sz val="12"/>
      <color rgb="FF0033CC"/>
      <name val="Calibri"/>
      <family val="2"/>
    </font>
    <font>
      <b/>
      <sz val="11"/>
      <color rgb="FF2F3437"/>
      <name val="Calibri"/>
      <family val="2"/>
    </font>
    <font>
      <sz val="14"/>
      <color rgb="FF0000FF"/>
      <name val="Calibri"/>
      <family val="2"/>
    </font>
    <font>
      <sz val="12"/>
      <color rgb="FFC00000"/>
      <name val="Calibri"/>
      <family val="2"/>
    </font>
    <font>
      <i/>
      <sz val="11"/>
      <color rgb="FF2F3437"/>
      <name val="Calibri"/>
      <family val="2"/>
    </font>
    <font>
      <b/>
      <sz val="11"/>
      <color rgb="FFB8C6A5"/>
      <name val="Calibri"/>
      <family val="2"/>
    </font>
    <font>
      <b/>
      <sz val="11"/>
      <color theme="1"/>
      <name val="Calibri"/>
      <family val="2"/>
    </font>
    <font>
      <sz val="12"/>
      <color rgb="FF7030A0"/>
      <name val="Calibri"/>
      <family val="2"/>
    </font>
    <font>
      <sz val="12"/>
      <name val="Calibri"/>
      <family val="2"/>
    </font>
    <font>
      <sz val="11"/>
      <color indexed="8"/>
      <name val="Calibri"/>
      <family val="2"/>
    </font>
    <font>
      <sz val="10"/>
      <color theme="0"/>
      <name val="Calibri"/>
      <family val="2"/>
    </font>
    <font>
      <sz val="11"/>
      <color theme="10"/>
      <name val="Calibri"/>
      <family val="2"/>
    </font>
    <font>
      <b/>
      <sz val="11"/>
      <color rgb="FF8F5848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Arial Unicode MS"/>
    </font>
    <font>
      <sz val="14"/>
      <color rgb="FF2F3437"/>
      <name val="Calibri"/>
      <family val="2"/>
    </font>
    <font>
      <b/>
      <sz val="12"/>
      <color theme="9" tint="-0.49986266670735802"/>
      <name val="Calibri"/>
      <family val="2"/>
    </font>
    <font>
      <sz val="12"/>
      <color theme="9" tint="-0.49992370372631001"/>
      <name val="Calibri"/>
      <family val="2"/>
    </font>
    <font>
      <sz val="12"/>
      <color theme="9" tint="-0.49986266670735802"/>
      <name val="Calibri"/>
      <family val="2"/>
    </font>
    <font>
      <b/>
      <sz val="11"/>
      <color theme="9" tint="-0.49986266670735802"/>
      <name val="Calibri"/>
      <family val="2"/>
    </font>
    <font>
      <b/>
      <sz val="12"/>
      <color theme="5" tint="-0.49995422223578601"/>
      <name val="Calibri"/>
      <family val="2"/>
    </font>
    <font>
      <b/>
      <sz val="13"/>
      <color theme="1"/>
      <name val="Calibri"/>
      <family val="2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rgb="FFFFFF0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70C0"/>
      <name val="Calibri"/>
      <family val="2"/>
    </font>
    <font>
      <b/>
      <sz val="20"/>
      <color rgb="FFFFFFFF"/>
      <name val="Calibri"/>
      <family val="2"/>
    </font>
    <font>
      <sz val="10"/>
      <name val="Calibri"/>
      <family val="2"/>
    </font>
    <font>
      <b/>
      <sz val="11"/>
      <color rgb="FFFFFFFF"/>
      <name val="Calibri"/>
      <family val="2"/>
    </font>
    <font>
      <sz val="8"/>
      <color theme="0"/>
      <name val="Calibri"/>
      <family val="2"/>
    </font>
    <font>
      <b/>
      <sz val="16"/>
      <color theme="1"/>
      <name val="Calibri"/>
      <family val="2"/>
    </font>
    <font>
      <i/>
      <sz val="12"/>
      <name val="Calibri"/>
      <family val="2"/>
    </font>
    <font>
      <i/>
      <sz val="10"/>
      <name val="Calibri"/>
      <family val="2"/>
    </font>
    <font>
      <b/>
      <sz val="11"/>
      <color theme="0"/>
      <name val="Calibri"/>
      <family val="2"/>
    </font>
    <font>
      <b/>
      <sz val="12"/>
      <name val="Calibri"/>
      <family val="2"/>
    </font>
    <font>
      <b/>
      <sz val="9"/>
      <color rgb="FFFFFFFF"/>
      <name val="Calibri"/>
      <family val="2"/>
    </font>
    <font>
      <sz val="14"/>
      <name val="Calibri"/>
      <family val="2"/>
    </font>
    <font>
      <b/>
      <sz val="14"/>
      <color rgb="FFC00000"/>
      <name val="Calibri"/>
      <family val="2"/>
    </font>
    <font>
      <b/>
      <sz val="12"/>
      <color rgb="FF0033CC"/>
      <name val="Calibri"/>
      <family val="2"/>
    </font>
    <font>
      <sz val="12"/>
      <color rgb="FF3E332E"/>
      <name val="Calibri"/>
      <family val="2"/>
    </font>
    <font>
      <b/>
      <sz val="12"/>
      <color rgb="FF3E332E"/>
      <name val="Calibri"/>
      <family val="2"/>
    </font>
    <font>
      <b/>
      <sz val="14"/>
      <color rgb="FF8B1E1E"/>
      <name val="Calibri"/>
      <family val="2"/>
    </font>
    <font>
      <b/>
      <sz val="14"/>
      <color rgb="FF7A5A00"/>
      <name val="Calibri"/>
      <family val="2"/>
    </font>
    <font>
      <sz val="14"/>
      <color rgb="FF3E332E"/>
      <name val="Calibri"/>
      <family val="2"/>
    </font>
    <font>
      <b/>
      <sz val="14"/>
      <color rgb="FF555555"/>
      <name val="Calibri"/>
      <family val="2"/>
    </font>
    <font>
      <b/>
      <sz val="12"/>
      <color rgb="FF000000"/>
      <name val="Calibri"/>
      <family val="2"/>
    </font>
    <font>
      <b/>
      <sz val="12"/>
      <color theme="0"/>
      <name val="Calibri"/>
      <family val="2"/>
    </font>
    <font>
      <sz val="11"/>
      <color theme="0"/>
      <name val="Carlito"/>
      <family val="2"/>
    </font>
    <font>
      <b/>
      <sz val="12"/>
      <color theme="1"/>
      <name val="Carlito"/>
      <family val="2"/>
    </font>
    <font>
      <sz val="10"/>
      <color rgb="FF111827"/>
      <name val="Calibri"/>
      <family val="2"/>
    </font>
    <font>
      <b/>
      <sz val="15"/>
      <color rgb="FFFFFFFF"/>
      <name val="Calibri"/>
      <family val="2"/>
    </font>
    <font>
      <i/>
      <sz val="10"/>
      <color rgb="FF6B7280"/>
      <name val="Calibri"/>
      <family val="2"/>
    </font>
    <font>
      <b/>
      <sz val="12"/>
      <color rgb="FF1F2937"/>
      <name val="Calibri"/>
      <family val="2"/>
    </font>
    <font>
      <sz val="12"/>
      <color rgb="FF1F2937"/>
      <name val="Calibri"/>
      <family val="2"/>
    </font>
    <font>
      <sz val="12"/>
      <color theme="10"/>
      <name val="Calibri"/>
      <family val="2"/>
      <scheme val="minor"/>
    </font>
    <font>
      <i/>
      <sz val="12"/>
      <color rgb="FF6B7280"/>
      <name val="Calibri"/>
      <family val="2"/>
    </font>
    <font>
      <b/>
      <sz val="11"/>
      <color rgb="FF1F2937"/>
      <name val="Calibri"/>
      <family val="2"/>
    </font>
    <font>
      <sz val="11"/>
      <color rgb="FF1F2937"/>
      <name val="Calibri"/>
      <family val="2"/>
    </font>
    <font>
      <b/>
      <sz val="10"/>
      <color rgb="FF1F2937"/>
      <name val="Calibri"/>
      <family val="2"/>
    </font>
    <font>
      <sz val="10"/>
      <color rgb="FF1F2937"/>
      <name val="Calibri"/>
      <family val="2"/>
    </font>
    <font>
      <sz val="10"/>
      <color theme="1"/>
      <name val="Calibri"/>
      <family val="2"/>
    </font>
    <font>
      <b/>
      <sz val="14"/>
      <color theme="6" tint="-0.49983214819788202"/>
      <name val="Calibri"/>
      <family val="2"/>
    </font>
    <font>
      <sz val="12"/>
      <color theme="9" tint="-0.49989318521683401"/>
      <name val="Calibri"/>
      <family val="2"/>
    </font>
    <font>
      <b/>
      <sz val="11"/>
      <color theme="9" tint="-0.49983214819788202"/>
      <name val="Calibri"/>
      <family val="2"/>
    </font>
    <font>
      <sz val="12"/>
      <color theme="9" tint="-0.49983214819788202"/>
      <name val="Calibri"/>
      <family val="2"/>
    </font>
    <font>
      <b/>
      <sz val="12"/>
      <color theme="5" tint="-0.49992370372631001"/>
      <name val="Calibri"/>
      <family val="2"/>
    </font>
    <font>
      <b/>
      <sz val="14"/>
      <color theme="1" tint="0.34998626667073579"/>
      <name val="Calibri"/>
      <family val="2"/>
    </font>
    <font>
      <b/>
      <sz val="14"/>
      <color theme="9" tint="-0.49986266670735802"/>
      <name val="Calibri"/>
      <family val="2"/>
    </font>
    <font>
      <b/>
      <sz val="11"/>
      <color theme="0" tint="-0.499984740745262"/>
      <name val="Calibri"/>
      <family val="2"/>
    </font>
    <font>
      <b/>
      <sz val="12"/>
      <color rgb="FF98A1A6"/>
      <name val="Calibri"/>
      <family val="2"/>
    </font>
    <font>
      <sz val="12"/>
      <color rgb="FF98A1A6"/>
      <name val="Calibri"/>
      <family val="2"/>
    </font>
    <font>
      <b/>
      <sz val="18"/>
      <color rgb="FF2F3437"/>
      <name val="Calibri"/>
      <family val="2"/>
    </font>
  </fonts>
  <fills count="29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9826B"/>
      </patternFill>
    </fill>
    <fill>
      <patternFill patternType="solid">
        <fgColor rgb="FFF7F0E8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rgb="FFD9EAD3"/>
      </patternFill>
    </fill>
    <fill>
      <patternFill patternType="solid">
        <fgColor rgb="FFE8C7A8"/>
      </patternFill>
    </fill>
    <fill>
      <patternFill patternType="solid">
        <fgColor rgb="FF88CFEC"/>
      </patternFill>
    </fill>
    <fill>
      <patternFill patternType="solid">
        <fgColor theme="4" tint="0.79985961485641044"/>
        <bgColor indexed="65"/>
      </patternFill>
    </fill>
    <fill>
      <patternFill patternType="solid">
        <fgColor rgb="FFB8C6A5"/>
      </patternFill>
    </fill>
    <fill>
      <patternFill patternType="solid">
        <fgColor rgb="FFA2DAF0"/>
      </patternFill>
    </fill>
    <fill>
      <patternFill patternType="solid">
        <fgColor rgb="FFBCE8AA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85961485641044"/>
        <bgColor indexed="65"/>
      </patternFill>
    </fill>
    <fill>
      <patternFill patternType="solid">
        <fgColor rgb="FFAEBBC6"/>
      </patternFill>
    </fill>
    <fill>
      <patternFill patternType="solid">
        <fgColor rgb="FFFCF4E8"/>
      </patternFill>
    </fill>
    <fill>
      <patternFill patternType="solid">
        <fgColor rgb="FFC6E0B4"/>
      </patternFill>
    </fill>
    <fill>
      <patternFill patternType="solid">
        <fgColor rgb="FFCC99FF"/>
      </patternFill>
    </fill>
    <fill>
      <patternFill patternType="solid">
        <fgColor rgb="FFFFE699"/>
      </patternFill>
    </fill>
    <fill>
      <patternFill patternType="solid">
        <fgColor rgb="FF008000"/>
      </patternFill>
    </fill>
    <fill>
      <patternFill patternType="solid">
        <fgColor rgb="FFFFFF9F"/>
      </patternFill>
    </fill>
    <fill>
      <patternFill patternType="solid">
        <fgColor rgb="FFEFE5F7"/>
      </patternFill>
    </fill>
    <fill>
      <patternFill patternType="solid">
        <fgColor rgb="FFFFFF00"/>
      </patternFill>
    </fill>
    <fill>
      <patternFill patternType="solid">
        <fgColor rgb="FFE7EEDF"/>
      </patternFill>
    </fill>
    <fill>
      <patternFill patternType="solid">
        <fgColor rgb="FFFFFFD9"/>
      </patternFill>
    </fill>
    <fill>
      <patternFill patternType="solid">
        <fgColor theme="4" tint="0.79995117038483843"/>
        <bgColor indexed="65"/>
      </patternFill>
    </fill>
    <fill>
      <patternFill patternType="solid">
        <fgColor rgb="FFFFFF9B"/>
      </patternFill>
    </fill>
    <fill>
      <patternFill patternType="solid">
        <fgColor rgb="FFFAFCF7"/>
      </patternFill>
    </fill>
    <fill>
      <patternFill patternType="solid">
        <fgColor rgb="FFFFF2CC"/>
      </patternFill>
    </fill>
    <fill>
      <patternFill patternType="solid">
        <fgColor rgb="FFFFF9EE"/>
      </patternFill>
    </fill>
    <fill>
      <patternFill patternType="solid">
        <fgColor rgb="FFE7E3DE"/>
      </patternFill>
    </fill>
    <fill>
      <patternFill patternType="solid">
        <fgColor rgb="FFF3F8EF"/>
      </patternFill>
    </fill>
    <fill>
      <patternFill patternType="solid">
        <fgColor rgb="FFE6EDF2"/>
      </patternFill>
    </fill>
    <fill>
      <patternFill patternType="solid">
        <fgColor rgb="FFFFFDF8"/>
      </patternFill>
    </fill>
    <fill>
      <patternFill patternType="solid">
        <fgColor rgb="FFFFC000"/>
      </patternFill>
    </fill>
    <fill>
      <patternFill patternType="solid">
        <fgColor rgb="FFFF6600"/>
      </patternFill>
    </fill>
    <fill>
      <patternFill patternType="solid">
        <fgColor rgb="FFF5E6A8"/>
      </patternFill>
    </fill>
    <fill>
      <patternFill patternType="solid">
        <fgColor rgb="FFF4D7D2"/>
      </patternFill>
    </fill>
    <fill>
      <patternFill patternType="solid">
        <fgColor rgb="FFE2D0F0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C00000"/>
      </patternFill>
    </fill>
    <fill>
      <patternFill patternType="solid">
        <fgColor theme="4" tint="0.79992065187536243"/>
        <bgColor indexed="65"/>
      </patternFill>
    </fill>
    <fill>
      <patternFill patternType="solid">
        <fgColor rgb="FFFDF7ED"/>
      </patternFill>
    </fill>
    <fill>
      <patternFill patternType="gray0625">
        <fgColor theme="9" tint="0.79985961485641044"/>
        <bgColor rgb="FFF7F0E8"/>
      </patternFill>
    </fill>
    <fill>
      <patternFill patternType="solid">
        <fgColor theme="0" tint="-4.9989318521683403E-2"/>
        <bgColor indexed="65"/>
      </patternFill>
    </fill>
    <fill>
      <patternFill patternType="gray0625">
        <fgColor theme="9" tint="0.79985961485641044"/>
        <bgColor rgb="FFFFFFCC"/>
      </patternFill>
    </fill>
    <fill>
      <patternFill patternType="gray0625">
        <fgColor theme="9" tint="0.79985961485641044"/>
        <bgColor rgb="FFF3F8EF"/>
      </patternFill>
    </fill>
    <fill>
      <patternFill patternType="gray0625">
        <fgColor theme="9" tint="0.79985961485641044"/>
        <bgColor rgb="FFB8C6A5"/>
      </patternFill>
    </fill>
    <fill>
      <patternFill patternType="solid">
        <fgColor rgb="FFFFE0C1"/>
      </patternFill>
    </fill>
    <fill>
      <patternFill patternType="solid">
        <fgColor rgb="FFFFE8D1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rgb="FFF1E8F8"/>
      </patternFill>
    </fill>
    <fill>
      <patternFill patternType="solid">
        <fgColor rgb="FFCC00FF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EFFBD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theme="9"/>
      </patternFill>
    </fill>
    <fill>
      <patternFill patternType="solid">
        <fgColor rgb="FF339966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CF4E8"/>
        <bgColor indexed="64"/>
      </patternFill>
    </fill>
    <fill>
      <patternFill patternType="solid">
        <fgColor rgb="FFFCE4D6"/>
      </patternFill>
    </fill>
    <fill>
      <patternFill patternType="solid">
        <fgColor rgb="FFE2F0D9"/>
      </patternFill>
    </fill>
    <fill>
      <patternFill patternType="solid">
        <fgColor rgb="FF17365D"/>
      </patternFill>
    </fill>
    <fill>
      <patternFill patternType="solid">
        <fgColor rgb="FF548235"/>
      </patternFill>
    </fill>
    <fill>
      <patternFill patternType="solid">
        <fgColor rgb="FF92D050"/>
      </patternFill>
    </fill>
    <fill>
      <patternFill patternType="solid">
        <fgColor rgb="FF2F75B5"/>
      </patternFill>
    </fill>
    <fill>
      <patternFill patternType="solid">
        <fgColor rgb="FF1AA39A"/>
      </patternFill>
    </fill>
    <fill>
      <patternFill patternType="solid">
        <fgColor rgb="FFCC00FF"/>
      </patternFill>
    </fill>
    <fill>
      <patternFill patternType="solid">
        <fgColor rgb="FF1F4E78"/>
      </patternFill>
    </fill>
    <fill>
      <patternFill patternType="solid">
        <fgColor rgb="FF609ED6"/>
      </patternFill>
    </fill>
    <fill>
      <patternFill patternType="solid">
        <fgColor rgb="FF666666"/>
      </patternFill>
    </fill>
    <fill>
      <patternFill patternType="solid">
        <fgColor rgb="FFFFFFFF"/>
      </patternFill>
    </fill>
    <fill>
      <patternFill patternType="solid">
        <fgColor rgb="FF5B9BD5"/>
      </patternFill>
    </fill>
    <fill>
      <patternFill patternType="solid">
        <fgColor theme="0" tint="-0.249977111117893"/>
        <bgColor indexed="65"/>
      </patternFill>
    </fill>
    <fill>
      <patternFill patternType="solid">
        <fgColor rgb="FFB8C6A5"/>
        <bgColor indexed="64"/>
      </patternFill>
    </fill>
    <fill>
      <patternFill patternType="solid">
        <fgColor rgb="FFF3D7C8"/>
      </patternFill>
    </fill>
    <fill>
      <patternFill patternType="solid">
        <fgColor rgb="FFEADFC8"/>
      </patternFill>
    </fill>
    <fill>
      <patternFill patternType="solid">
        <fgColor rgb="FFF6D6D6"/>
      </patternFill>
    </fill>
    <fill>
      <patternFill patternType="solid">
        <fgColor rgb="FFFFF0C9"/>
      </patternFill>
    </fill>
    <fill>
      <patternFill patternType="solid">
        <fgColor rgb="FFDDE6D5"/>
        <bgColor indexed="64"/>
      </patternFill>
    </fill>
    <fill>
      <patternFill patternType="solid">
        <fgColor rgb="FFE9E9E9"/>
      </patternFill>
    </fill>
    <fill>
      <patternFill patternType="solid">
        <fgColor rgb="FFFBE9E3"/>
      </patternFill>
    </fill>
    <fill>
      <patternFill patternType="solid">
        <fgColor rgb="FFF7F0DE"/>
      </patternFill>
    </fill>
    <fill>
      <patternFill patternType="solid">
        <fgColor rgb="FFF8F3EA"/>
      </patternFill>
    </fill>
    <fill>
      <patternFill patternType="solid">
        <fgColor rgb="FFEEF2F2"/>
      </patternFill>
    </fill>
    <fill>
      <patternFill patternType="solid">
        <fgColor rgb="FFEAF1E4"/>
      </patternFill>
    </fill>
    <fill>
      <patternFill patternType="solid">
        <fgColor rgb="FFF6F0F7"/>
      </patternFill>
    </fill>
    <fill>
      <patternFill patternType="solid">
        <fgColor rgb="FFE8EFF7"/>
      </patternFill>
    </fill>
    <fill>
      <patternFill patternType="solid">
        <fgColor rgb="FFF0E9F4"/>
      </patternFill>
    </fill>
    <fill>
      <patternFill patternType="solid">
        <fgColor rgb="FFF8EFE6"/>
      </patternFill>
    </fill>
    <fill>
      <patternFill patternType="solid">
        <fgColor rgb="FFE7E7E7"/>
      </patternFill>
    </fill>
    <fill>
      <patternFill patternType="solid">
        <fgColor rgb="FFDDEBF7"/>
      </patternFill>
    </fill>
    <fill>
      <patternFill patternType="solid">
        <fgColor rgb="FFA61C3C"/>
      </patternFill>
    </fill>
    <fill>
      <patternFill patternType="solid">
        <fgColor rgb="FFD3542D"/>
      </patternFill>
    </fill>
    <fill>
      <patternFill patternType="solid">
        <fgColor rgb="FFF28C28"/>
      </patternFill>
    </fill>
    <fill>
      <patternFill patternType="solid">
        <fgColor rgb="FFB75D3E"/>
      </patternFill>
    </fill>
    <fill>
      <patternFill patternType="solid">
        <fgColor rgb="FFE88A75"/>
      </patternFill>
    </fill>
    <fill>
      <patternFill patternType="solid">
        <fgColor rgb="FFF4F7F7"/>
      </patternFill>
    </fill>
    <fill>
      <patternFill patternType="solid">
        <fgColor rgb="FFFFF2B2"/>
      </patternFill>
    </fill>
    <fill>
      <patternFill patternType="solid">
        <fgColor rgb="FFD4A72C"/>
      </patternFill>
    </fill>
    <fill>
      <patternFill patternType="solid">
        <fgColor rgb="FFE8F2D0"/>
      </patternFill>
    </fill>
    <fill>
      <patternFill patternType="solid">
        <fgColor rgb="FFDDEBC7"/>
      </patternFill>
    </fill>
    <fill>
      <patternFill patternType="solid">
        <fgColor rgb="FFF3F4EE"/>
      </patternFill>
    </fill>
    <fill>
      <patternFill patternType="solid">
        <fgColor rgb="FFD8A43B"/>
      </patternFill>
    </fill>
    <fill>
      <patternFill patternType="solid">
        <fgColor rgb="FFF7F0D8"/>
      </patternFill>
    </fill>
    <fill>
      <patternFill patternType="solid">
        <fgColor rgb="FFC65D4B"/>
      </patternFill>
    </fill>
    <fill>
      <patternFill patternType="solid">
        <fgColor rgb="FFF4F4E8"/>
      </patternFill>
    </fill>
    <fill>
      <patternFill patternType="solid">
        <fgColor rgb="FFE6C96A"/>
      </patternFill>
    </fill>
    <fill>
      <patternFill patternType="solid">
        <fgColor rgb="FFD96375"/>
      </patternFill>
    </fill>
    <fill>
      <patternFill patternType="solid">
        <fgColor rgb="FFFFF8CC"/>
      </patternFill>
    </fill>
    <fill>
      <patternFill patternType="solid">
        <fgColor rgb="FFFFF4D6"/>
      </patternFill>
    </fill>
    <fill>
      <patternFill patternType="solid">
        <fgColor rgb="FFE8A0A8"/>
      </patternFill>
    </fill>
    <fill>
      <patternFill patternType="solid">
        <fgColor rgb="FFA98B4A"/>
      </patternFill>
    </fill>
    <fill>
      <patternFill patternType="solid">
        <fgColor rgb="FF5BAE52"/>
      </patternFill>
    </fill>
    <fill>
      <patternFill patternType="solid">
        <fgColor rgb="FFF1E4C8"/>
      </patternFill>
    </fill>
    <fill>
      <patternFill patternType="solid">
        <fgColor rgb="FFC68A3A"/>
      </patternFill>
    </fill>
    <fill>
      <patternFill patternType="solid">
        <fgColor rgb="FF6F4E37"/>
      </patternFill>
    </fill>
    <fill>
      <patternFill patternType="solid">
        <fgColor rgb="FFA8D5A2"/>
      </patternFill>
    </fill>
    <fill>
      <patternFill patternType="solid">
        <fgColor rgb="FFD07A2D"/>
      </patternFill>
    </fill>
    <fill>
      <patternFill patternType="solid">
        <fgColor rgb="FFB7D532"/>
      </patternFill>
    </fill>
    <fill>
      <patternFill patternType="solid">
        <fgColor rgb="FF7A3F2B"/>
      </patternFill>
    </fill>
    <fill>
      <patternFill patternType="solid">
        <fgColor rgb="FFD8C5E8"/>
      </patternFill>
    </fill>
    <fill>
      <patternFill patternType="solid">
        <fgColor rgb="FFE66A3C"/>
      </patternFill>
    </fill>
    <fill>
      <patternFill patternType="solid">
        <fgColor rgb="FFE86A2F"/>
      </patternFill>
    </fill>
    <fill>
      <patternFill patternType="solid">
        <fgColor rgb="FFEFA07A"/>
      </patternFill>
    </fill>
    <fill>
      <patternFill patternType="solid">
        <fgColor rgb="FFE49A2F"/>
      </patternFill>
    </fill>
    <fill>
      <patternFill patternType="solid">
        <fgColor rgb="FFF3B895"/>
      </patternFill>
    </fill>
    <fill>
      <patternFill patternType="solid">
        <fgColor rgb="FFF6B55B"/>
      </patternFill>
    </fill>
    <fill>
      <patternFill patternType="solid">
        <fgColor rgb="FFB84A62"/>
      </patternFill>
    </fill>
    <fill>
      <patternFill patternType="solid">
        <fgColor rgb="FFE6A0B5"/>
      </patternFill>
    </fill>
    <fill>
      <patternFill patternType="solid">
        <fgColor rgb="FF45C5D6"/>
      </patternFill>
    </fill>
    <fill>
      <patternFill patternType="solid">
        <fgColor rgb="FFC47AA3"/>
      </patternFill>
    </fill>
    <fill>
      <patternFill patternType="solid">
        <fgColor rgb="FFEFB34C"/>
      </patternFill>
    </fill>
    <fill>
      <patternFill patternType="solid">
        <fgColor rgb="FFC84B31"/>
      </patternFill>
    </fill>
    <fill>
      <patternFill patternType="solid">
        <fgColor rgb="FF8B5A2B"/>
      </patternFill>
    </fill>
    <fill>
      <patternFill patternType="solid">
        <fgColor rgb="FF4A2C22"/>
      </patternFill>
    </fill>
    <fill>
      <patternFill patternType="solid">
        <fgColor rgb="FF8B6B55"/>
      </patternFill>
    </fill>
    <fill>
      <patternFill patternType="solid">
        <fgColor rgb="FFD8C4A8"/>
      </patternFill>
    </fill>
    <fill>
      <patternFill patternType="solid">
        <fgColor rgb="FFC8AD8D"/>
      </patternFill>
    </fill>
    <fill>
      <patternFill patternType="solid">
        <fgColor rgb="FFD8842F"/>
      </patternFill>
    </fill>
    <fill>
      <patternFill patternType="solid">
        <fgColor rgb="FFE3B341"/>
      </patternFill>
    </fill>
    <fill>
      <patternFill patternType="solid">
        <fgColor rgb="FFD9DED8"/>
      </patternFill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7FAD9"/>
      </patternFill>
    </fill>
    <fill>
      <patternFill patternType="solid">
        <fgColor rgb="FFFBF9F6"/>
      </patternFill>
    </fill>
    <fill>
      <patternFill patternType="solid">
        <fgColor rgb="FFFEEDE8"/>
      </patternFill>
    </fill>
    <fill>
      <patternFill patternType="solid">
        <fgColor rgb="FFFCFBF4"/>
      </patternFill>
    </fill>
    <fill>
      <patternFill patternType="solid">
        <fgColor rgb="FFE4E9D9"/>
      </patternFill>
    </fill>
    <fill>
      <patternFill patternType="solid">
        <fgColor rgb="FFFEE8EA"/>
      </patternFill>
    </fill>
    <fill>
      <patternFill patternType="solid">
        <fgColor rgb="FFFAF5EF"/>
      </patternFill>
    </fill>
    <fill>
      <patternFill patternType="solid">
        <fgColor rgb="FFFBFAF1"/>
      </patternFill>
    </fill>
    <fill>
      <patternFill patternType="solid">
        <fgColor rgb="FFF9F9F8"/>
      </patternFill>
    </fill>
    <fill>
      <patternFill patternType="solid">
        <fgColor rgb="FF5F8302"/>
      </patternFill>
    </fill>
    <fill>
      <patternFill patternType="solid">
        <fgColor rgb="FF6C3E93"/>
      </patternFill>
    </fill>
    <fill>
      <patternFill patternType="solid">
        <fgColor rgb="FFC7330B"/>
      </patternFill>
    </fill>
    <fill>
      <patternFill patternType="solid">
        <fgColor rgb="FF65705E"/>
      </patternFill>
    </fill>
    <fill>
      <patternFill patternType="solid">
        <fgColor rgb="FF243700"/>
      </patternFill>
    </fill>
    <fill>
      <patternFill patternType="solid">
        <fgColor rgb="FFBF1D39"/>
      </patternFill>
    </fill>
    <fill>
      <patternFill patternType="solid">
        <fgColor rgb="FF4C5558"/>
      </patternFill>
    </fill>
    <fill>
      <patternFill patternType="solid">
        <fgColor rgb="FF62351E"/>
      </patternFill>
    </fill>
    <fill>
      <patternFill patternType="solid">
        <fgColor rgb="FF72859B"/>
      </patternFill>
    </fill>
    <fill>
      <patternFill patternType="solid">
        <fgColor rgb="FF292F31"/>
      </patternFill>
    </fill>
    <fill>
      <patternFill patternType="solid">
        <fgColor rgb="FFF8FAFC"/>
      </patternFill>
    </fill>
    <fill>
      <patternFill patternType="solid">
        <fgColor rgb="FF7AA802"/>
      </patternFill>
    </fill>
    <fill>
      <patternFill patternType="solid">
        <fgColor rgb="FF8A4FBD"/>
      </patternFill>
    </fill>
    <fill>
      <patternFill patternType="solid">
        <fgColor rgb="FFFF420E"/>
      </patternFill>
    </fill>
    <fill>
      <patternFill patternType="solid">
        <fgColor rgb="FF829079"/>
      </patternFill>
    </fill>
    <fill>
      <patternFill patternType="solid">
        <fgColor rgb="FF2E4600"/>
      </patternFill>
    </fill>
    <fill>
      <patternFill patternType="solid">
        <fgColor rgb="FFF52549"/>
      </patternFill>
    </fill>
    <fill>
      <patternFill patternType="solid">
        <fgColor rgb="FF626D71"/>
      </patternFill>
    </fill>
    <fill>
      <patternFill patternType="solid">
        <fgColor rgb="FF7D4427"/>
      </patternFill>
    </fill>
    <fill>
      <patternFill patternType="solid">
        <fgColor rgb="FF92AAC7"/>
      </patternFill>
    </fill>
    <fill>
      <patternFill patternType="solid">
        <fgColor rgb="FF353C3F"/>
      </patternFill>
    </fill>
    <fill>
      <patternFill patternType="solid">
        <fgColor rgb="FFF9FCF0"/>
      </patternFill>
    </fill>
    <fill>
      <patternFill patternType="solid">
        <fgColor rgb="FFF7F2E9"/>
      </patternFill>
    </fill>
    <fill>
      <patternFill patternType="solid">
        <fgColor rgb="FFFFF7F4"/>
      </patternFill>
    </fill>
    <fill>
      <patternFill patternType="solid">
        <fgColor rgb="FFFAF8ED"/>
      </patternFill>
    </fill>
    <fill>
      <patternFill patternType="solid">
        <fgColor rgb="FFF4F7EE"/>
      </patternFill>
    </fill>
    <fill>
      <patternFill patternType="solid">
        <fgColor rgb="FFFFF6F7"/>
      </patternFill>
    </fill>
    <fill>
      <patternFill patternType="solid">
        <fgColor rgb="FFF7F5F1"/>
      </patternFill>
    </fill>
    <fill>
      <patternFill patternType="solid">
        <fgColor rgb="FFF8F5F1"/>
      </patternFill>
    </fill>
    <fill>
      <patternFill patternType="solid">
        <fgColor rgb="FFF9F9F4"/>
      </patternFill>
    </fill>
    <fill>
      <patternFill patternType="solid">
        <fgColor rgb="FFF9F9F9"/>
      </patternFill>
    </fill>
    <fill>
      <patternFill patternType="solid">
        <fgColor rgb="FFF9FBE6"/>
      </patternFill>
    </fill>
    <fill>
      <patternFill patternType="solid">
        <fgColor rgb="FFFCFBF9"/>
      </patternFill>
    </fill>
    <fill>
      <patternFill patternType="solid">
        <fgColor rgb="FFFEF3F0"/>
      </patternFill>
    </fill>
    <fill>
      <patternFill patternType="solid">
        <fgColor rgb="FFFDFCF8"/>
      </patternFill>
    </fill>
    <fill>
      <patternFill patternType="solid">
        <fgColor rgb="FFEDF0E6"/>
      </patternFill>
    </fill>
    <fill>
      <patternFill patternType="solid">
        <fgColor rgb="FFFEF0F1"/>
      </patternFill>
    </fill>
    <fill>
      <patternFill patternType="solid">
        <fgColor rgb="FFFCF8F4"/>
      </patternFill>
    </fill>
    <fill>
      <patternFill patternType="solid">
        <fgColor rgb="FFFCFCF6"/>
      </patternFill>
    </fill>
    <fill>
      <patternFill patternType="solid">
        <fgColor rgb="FFFBFBFA"/>
      </patternFill>
    </fill>
    <fill>
      <patternFill patternType="solid">
        <fgColor rgb="FFF7FCEB"/>
      </patternFill>
    </fill>
    <fill>
      <patternFill patternType="solid">
        <fgColor rgb="FFF5EEE2"/>
      </patternFill>
    </fill>
    <fill>
      <patternFill patternType="solid">
        <fgColor rgb="FFFFF5F1"/>
      </patternFill>
    </fill>
    <fill>
      <patternFill patternType="solid">
        <fgColor rgb="FFF8F6E7"/>
      </patternFill>
    </fill>
    <fill>
      <patternFill patternType="solid">
        <fgColor rgb="FFF1F5E9"/>
      </patternFill>
    </fill>
    <fill>
      <patternFill patternType="solid">
        <fgColor rgb="FFFFF3F5"/>
      </patternFill>
    </fill>
    <fill>
      <patternFill patternType="solid">
        <fgColor rgb="FFF4F2ED"/>
      </patternFill>
    </fill>
    <fill>
      <patternFill patternType="solid">
        <fgColor rgb="FFF6F1ED"/>
      </patternFill>
    </fill>
    <fill>
      <patternFill patternType="solid">
        <fgColor rgb="FFF7F7F1"/>
      </patternFill>
    </fill>
    <fill>
      <patternFill patternType="solid">
        <fgColor rgb="FFF7F7F7"/>
      </patternFill>
    </fill>
    <fill>
      <patternFill patternType="solid">
        <fgColor rgb="FFFDDFC4"/>
      </patternFill>
    </fill>
    <fill>
      <patternFill patternType="solid">
        <fgColor rgb="FFFFC4D3"/>
      </patternFill>
    </fill>
    <fill>
      <patternFill patternType="solid">
        <fgColor rgb="FFDBEDE4"/>
      </patternFill>
    </fill>
    <fill>
      <patternFill patternType="solid">
        <fgColor rgb="FFEBE0D2"/>
      </patternFill>
    </fill>
    <fill>
      <patternFill patternType="solid">
        <fgColor rgb="FFE5EFC1"/>
      </patternFill>
    </fill>
    <fill>
      <patternFill patternType="solid">
        <fgColor rgb="FFFFF4CD"/>
      </patternFill>
    </fill>
    <fill>
      <patternFill patternType="solid">
        <fgColor rgb="FFEADED4"/>
      </patternFill>
    </fill>
    <fill>
      <patternFill patternType="solid">
        <fgColor rgb="FFFAD0CF"/>
      </patternFill>
    </fill>
    <fill>
      <patternFill patternType="solid">
        <fgColor rgb="FFFFDFC9"/>
      </patternFill>
    </fill>
    <fill>
      <patternFill patternType="solid">
        <fgColor rgb="FFF78B2D"/>
      </patternFill>
    </fill>
    <fill>
      <patternFill patternType="solid">
        <fgColor rgb="FFFF2E63"/>
      </patternFill>
    </fill>
    <fill>
      <patternFill patternType="solid">
        <fgColor rgb="FF80BD9E"/>
      </patternFill>
    </fill>
    <fill>
      <patternFill patternType="solid">
        <fgColor rgb="FFB9925E"/>
      </patternFill>
    </fill>
    <fill>
      <patternFill patternType="solid">
        <fgColor rgb="FFA2C523"/>
      </patternFill>
    </fill>
    <fill>
      <patternFill patternType="solid">
        <fgColor rgb="FFFFD64D"/>
      </patternFill>
    </fill>
    <fill>
      <patternFill patternType="solid">
        <fgColor rgb="FFB38867"/>
      </patternFill>
    </fill>
    <fill>
      <patternFill patternType="solid">
        <fgColor rgb="FFED5752"/>
      </patternFill>
    </fill>
    <fill>
      <patternFill patternType="solid">
        <fgColor rgb="FFFF8D3F"/>
      </patternFill>
    </fill>
    <fill>
      <patternFill patternType="solid">
        <fgColor rgb="FFF4F8CC"/>
      </patternFill>
    </fill>
    <fill>
      <patternFill patternType="solid">
        <fgColor rgb="FFFBFCEB"/>
      </patternFill>
    </fill>
    <fill>
      <patternFill patternType="solid">
        <fgColor rgb="FFC7DB00"/>
      </patternFill>
    </fill>
    <fill>
      <patternFill patternType="solid">
        <fgColor rgb="FFF6FBE8"/>
      </patternFill>
    </fill>
    <fill>
      <patternFill patternType="solid">
        <fgColor rgb="FFE4B600"/>
      </patternFill>
    </fill>
    <fill>
      <patternFill patternType="solid">
        <fgColor rgb="FFD1D5DB"/>
      </patternFill>
    </fill>
    <fill>
      <patternFill patternType="solid">
        <fgColor rgb="FF1F2937"/>
      </patternFill>
    </fill>
    <fill>
      <patternFill patternType="solid">
        <fgColor rgb="FF6B7280"/>
      </patternFill>
    </fill>
    <fill>
      <patternFill patternType="solid">
        <fgColor rgb="FFFAF7F3"/>
      </patternFill>
    </fill>
    <fill>
      <patternFill patternType="solid">
        <fgColor rgb="FFFDFCFA"/>
      </patternFill>
    </fill>
    <fill>
      <patternFill patternType="solid">
        <fgColor rgb="FFE5D7C3"/>
      </patternFill>
    </fill>
    <fill>
      <patternFill patternType="solid">
        <fgColor rgb="FFF3EBDD"/>
      </patternFill>
    </fill>
    <fill>
      <patternFill patternType="solid">
        <fgColor rgb="FFFEE7E0"/>
      </patternFill>
    </fill>
    <fill>
      <patternFill patternType="solid">
        <fgColor rgb="FFFFF5F3"/>
      </patternFill>
    </fill>
    <fill>
      <patternFill patternType="solid">
        <fgColor rgb="FFF98866"/>
      </patternFill>
    </fill>
    <fill>
      <patternFill patternType="solid">
        <fgColor rgb="FFFFF3EE"/>
      </patternFill>
    </fill>
    <fill>
      <patternFill patternType="solid">
        <fgColor rgb="FF89DA59"/>
      </patternFill>
    </fill>
    <fill>
      <patternFill patternType="solid">
        <fgColor rgb="FFFEFDF9"/>
      </patternFill>
    </fill>
    <fill>
      <patternFill patternType="solid">
        <fgColor rgb="FFEDE6B9"/>
      </patternFill>
    </fill>
    <fill>
      <patternFill patternType="solid">
        <fgColor rgb="FFF7F5E3"/>
      </patternFill>
    </fill>
    <fill>
      <patternFill patternType="solid">
        <fgColor rgb="FFDAE1CC"/>
      </patternFill>
    </fill>
    <fill>
      <patternFill patternType="solid">
        <fgColor rgb="FFF0F3EB"/>
      </patternFill>
    </fill>
    <fill>
      <patternFill patternType="solid">
        <fgColor rgb="FF486B00"/>
      </patternFill>
    </fill>
    <fill>
      <patternFill patternType="solid">
        <fgColor rgb="FFEEF3E5"/>
      </patternFill>
    </fill>
    <fill>
      <patternFill patternType="solid">
        <fgColor rgb="FFFEE1E3"/>
      </patternFill>
    </fill>
    <fill>
      <patternFill patternType="solid">
        <fgColor rgb="FFFFF3F4"/>
      </patternFill>
    </fill>
    <fill>
      <patternFill patternType="solid">
        <fgColor rgb="FFFA6775"/>
      </patternFill>
    </fill>
    <fill>
      <patternFill patternType="solid">
        <fgColor rgb="FFFFF1F3"/>
      </patternFill>
    </fill>
    <fill>
      <patternFill patternType="solid">
        <fgColor rgb="FF9BC01C"/>
      </patternFill>
    </fill>
    <fill>
      <patternFill patternType="solid">
        <fgColor rgb="FFF8F2EA"/>
      </patternFill>
    </fill>
    <fill>
      <patternFill patternType="solid">
        <fgColor rgb="FFFCFAF7"/>
      </patternFill>
    </fill>
    <fill>
      <patternFill patternType="solid">
        <fgColor rgb="FFDDBC95"/>
      </patternFill>
    </fill>
    <fill>
      <patternFill patternType="solid">
        <fgColor rgb="FFF2F0EA"/>
      </patternFill>
    </fill>
    <fill>
      <patternFill patternType="solid">
        <fgColor rgb="FFCDCDC0"/>
      </patternFill>
    </fill>
    <fill>
      <patternFill patternType="solid">
        <fgColor rgb="FFF5EFEA"/>
      </patternFill>
    </fill>
    <fill>
      <patternFill patternType="solid">
        <fgColor rgb="FFF9F9EC"/>
      </patternFill>
    </fill>
    <fill>
      <patternFill patternType="solid">
        <fgColor rgb="FFE2DFA2"/>
      </patternFill>
    </fill>
    <fill>
      <patternFill patternType="solid">
        <fgColor rgb="FFF6F6EE"/>
      </patternFill>
    </fill>
    <fill>
      <patternFill patternType="solid">
        <fgColor rgb="FFA1BE9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4B740"/>
      </patternFill>
    </fill>
    <fill>
      <patternFill patternType="solid">
        <fgColor rgb="FF22C55E"/>
      </patternFill>
    </fill>
    <fill>
      <patternFill patternType="solid">
        <fgColor rgb="FF6366F1"/>
      </patternFill>
    </fill>
    <fill>
      <patternFill patternType="solid">
        <fgColor rgb="FFF97316"/>
      </patternFill>
    </fill>
    <fill>
      <patternFill patternType="solid">
        <fgColor rgb="FF16A34A"/>
      </patternFill>
    </fill>
    <fill>
      <patternFill patternType="solid">
        <fgColor rgb="FFEAB308"/>
      </patternFill>
    </fill>
    <fill>
      <patternFill patternType="solid">
        <fgColor rgb="FF0F766E"/>
      </patternFill>
    </fill>
    <fill>
      <patternFill patternType="solid">
        <fgColor rgb="FF60A5FA"/>
      </patternFill>
    </fill>
    <fill>
      <patternFill patternType="solid">
        <fgColor rgb="FFD6BFA6"/>
      </patternFill>
    </fill>
    <fill>
      <patternFill patternType="solid">
        <fgColor rgb="FF3B82F6"/>
      </patternFill>
    </fill>
    <fill>
      <patternFill patternType="solid">
        <fgColor rgb="FF8B5CF6"/>
      </patternFill>
    </fill>
    <fill>
      <patternFill patternType="solid">
        <fgColor rgb="FFE3D4C3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4" tint="0.79989013336588644"/>
        <bgColor indexed="65"/>
      </patternFill>
    </fill>
  </fills>
  <borders count="47">
    <border>
      <left/>
      <right/>
      <top/>
      <bottom/>
      <diagonal/>
    </border>
    <border>
      <left/>
      <right/>
      <top/>
      <bottom style="medium">
        <color rgb="FFC9B36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hair">
        <color theme="9" tint="-0.24994659260841701"/>
      </left>
      <right style="hair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 style="thin">
        <color theme="9" tint="0.39973143711661124"/>
      </left>
      <right style="hair">
        <color theme="9" tint="0.39994506668294322"/>
      </right>
      <top/>
      <bottom/>
      <diagonal/>
    </border>
    <border>
      <left/>
      <right/>
      <top style="double">
        <color theme="9" tint="0.39994506668294322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theme="9" tint="-0.24994659260841701"/>
      </right>
      <top/>
      <bottom/>
      <diagonal/>
    </border>
    <border>
      <left style="hair">
        <color theme="9" tint="-0.24994659260841701"/>
      </left>
      <right/>
      <top style="hair">
        <color indexed="64"/>
      </top>
      <bottom/>
      <diagonal/>
    </border>
    <border>
      <left style="hair">
        <color theme="9" tint="-0.24994659260841701"/>
      </left>
      <right style="hair">
        <color theme="9" tint="-0.24994659260841701"/>
      </right>
      <top style="hair">
        <color indexed="64"/>
      </top>
      <bottom/>
      <diagonal/>
    </border>
    <border>
      <left style="hair">
        <color indexed="64"/>
      </left>
      <right style="hair">
        <color theme="9" tint="-0.24994659260841701"/>
      </right>
      <top/>
      <bottom style="hair">
        <color theme="9" tint="-0.24994659260841701"/>
      </bottom>
      <diagonal/>
    </border>
    <border>
      <left style="hair">
        <color theme="9" tint="-0.24994659260841701"/>
      </left>
      <right/>
      <top/>
      <bottom style="hair">
        <color auto="1"/>
      </bottom>
      <diagonal/>
    </border>
    <border>
      <left style="hair">
        <color theme="9" tint="-0.24994659260841701"/>
      </left>
      <right style="hair">
        <color theme="9" tint="-0.2499465926084170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rgb="FFD9D9D9"/>
      </right>
      <top/>
      <bottom/>
      <diagonal/>
    </border>
    <border>
      <left style="thin">
        <color rgb="FFD9E1F2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D9E1F2"/>
      </right>
      <top style="thin">
        <color rgb="FFE7E6E6"/>
      </top>
      <bottom style="thin">
        <color rgb="FFE7E6E6"/>
      </bottom>
      <diagonal/>
    </border>
    <border>
      <left style="thin">
        <color rgb="FFD9E1F2"/>
      </left>
      <right style="thin">
        <color rgb="FFE7E6E6"/>
      </right>
      <top style="thin">
        <color rgb="FFE7E6E6"/>
      </top>
      <bottom style="thin">
        <color rgb="FFD9E1F2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D9E1F2"/>
      </bottom>
      <diagonal/>
    </border>
    <border>
      <left style="thin">
        <color rgb="FFE7E6E6"/>
      </left>
      <right style="thin">
        <color rgb="FFD9E1F2"/>
      </right>
      <top style="thin">
        <color rgb="FFE7E6E6"/>
      </top>
      <bottom style="thin">
        <color rgb="FFD9E1F2"/>
      </bottom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/>
      <right/>
      <top/>
      <bottom style="hair">
        <color rgb="FFD9D9D9"/>
      </bottom>
      <diagonal/>
    </border>
    <border>
      <left/>
      <right style="hair">
        <color rgb="FFD9D9D9"/>
      </right>
      <top/>
      <bottom style="hair">
        <color rgb="FFD9D9D9"/>
      </bottom>
      <diagonal/>
    </border>
    <border>
      <left/>
      <right/>
      <top/>
      <bottom style="thin">
        <color rgb="FFB0B7C3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  <border>
      <left style="thin">
        <color rgb="FFD1D5DB"/>
      </left>
      <right style="thin">
        <color rgb="FFD1D5DB"/>
      </right>
      <top style="medium">
        <color rgb="FF7A869A"/>
      </top>
      <bottom style="thin">
        <color rgb="FFD1D5DB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5">
    <xf numFmtId="0" fontId="0" fillId="0" borderId="0"/>
    <xf numFmtId="0" fontId="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5" fillId="0" borderId="0"/>
    <xf numFmtId="0" fontId="15" fillId="0" borderId="0"/>
    <xf numFmtId="0" fontId="47" fillId="0" borderId="0"/>
    <xf numFmtId="0" fontId="49" fillId="0" borderId="0" applyNumberForma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72" fillId="0" borderId="0"/>
    <xf numFmtId="0" fontId="15" fillId="0" borderId="0"/>
    <xf numFmtId="0" fontId="12" fillId="0" borderId="0"/>
    <xf numFmtId="0" fontId="52" fillId="0" borderId="0"/>
    <xf numFmtId="0" fontId="110" fillId="0" borderId="0"/>
  </cellStyleXfs>
  <cellXfs count="864">
    <xf numFmtId="0" fontId="0" fillId="0" borderId="0" xfId="0"/>
    <xf numFmtId="0" fontId="5" fillId="0" borderId="0" xfId="1" applyAlignment="1">
      <alignment vertical="center"/>
    </xf>
    <xf numFmtId="0" fontId="6" fillId="5" borderId="0" xfId="1" applyFont="1" applyFill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6" borderId="0" xfId="1" applyFont="1" applyFill="1" applyAlignment="1">
      <alignment horizontal="right" vertical="center"/>
    </xf>
    <xf numFmtId="0" fontId="10" fillId="6" borderId="0" xfId="1" applyFont="1" applyFill="1" applyAlignment="1">
      <alignment vertical="center"/>
    </xf>
    <xf numFmtId="0" fontId="11" fillId="6" borderId="0" xfId="1" applyFont="1" applyFill="1" applyAlignment="1">
      <alignment vertical="center"/>
    </xf>
    <xf numFmtId="0" fontId="8" fillId="0" borderId="0" xfId="1" applyFont="1" applyAlignment="1">
      <alignment horizontal="right" vertical="center"/>
    </xf>
    <xf numFmtId="0" fontId="13" fillId="7" borderId="1" xfId="2" applyFont="1" applyFill="1" applyBorder="1" applyAlignment="1">
      <alignment vertical="center"/>
    </xf>
    <xf numFmtId="0" fontId="17" fillId="5" borderId="0" xfId="1" applyFont="1" applyFill="1" applyAlignment="1">
      <alignment vertical="center"/>
    </xf>
    <xf numFmtId="0" fontId="18" fillId="5" borderId="0" xfId="1" applyFont="1" applyFill="1" applyAlignment="1">
      <alignment vertical="center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1" fillId="10" borderId="0" xfId="1" applyFont="1" applyFill="1" applyAlignment="1">
      <alignment horizontal="right" vertical="center"/>
    </xf>
    <xf numFmtId="0" fontId="8" fillId="6" borderId="0" xfId="1" applyFont="1" applyFill="1" applyAlignment="1">
      <alignment vertical="center"/>
    </xf>
    <xf numFmtId="0" fontId="22" fillId="11" borderId="0" xfId="2" applyFont="1" applyFill="1" applyAlignment="1">
      <alignment horizontal="center" vertical="center"/>
    </xf>
    <xf numFmtId="0" fontId="23" fillId="0" borderId="0" xfId="1" applyFont="1" applyAlignment="1">
      <alignment vertical="center"/>
    </xf>
    <xf numFmtId="0" fontId="22" fillId="12" borderId="0" xfId="2" applyFont="1" applyFill="1" applyAlignment="1">
      <alignment horizontal="center" vertical="center"/>
    </xf>
    <xf numFmtId="0" fontId="21" fillId="13" borderId="0" xfId="1" applyFont="1" applyFill="1" applyAlignment="1">
      <alignment horizontal="left" vertical="center"/>
    </xf>
    <xf numFmtId="0" fontId="13" fillId="14" borderId="0" xfId="2" applyFont="1" applyFill="1" applyAlignment="1">
      <alignment horizontal="center" vertical="center"/>
    </xf>
    <xf numFmtId="0" fontId="22" fillId="15" borderId="0" xfId="2" applyFont="1" applyFill="1" applyAlignment="1">
      <alignment horizontal="center" vertical="center"/>
    </xf>
    <xf numFmtId="0" fontId="22" fillId="17" borderId="0" xfId="2" applyFont="1" applyFill="1" applyAlignment="1">
      <alignment horizontal="center" vertical="center"/>
    </xf>
    <xf numFmtId="0" fontId="30" fillId="13" borderId="0" xfId="1" applyFont="1" applyFill="1" applyAlignment="1">
      <alignment horizontal="left" vertical="center"/>
    </xf>
    <xf numFmtId="0" fontId="21" fillId="13" borderId="0" xfId="1" applyFont="1" applyFill="1" applyAlignment="1">
      <alignment vertical="center"/>
    </xf>
    <xf numFmtId="0" fontId="17" fillId="18" borderId="0" xfId="1" applyFont="1" applyFill="1" applyAlignment="1">
      <alignment vertical="center"/>
    </xf>
    <xf numFmtId="0" fontId="18" fillId="18" borderId="0" xfId="1" applyFont="1" applyFill="1" applyAlignment="1">
      <alignment vertical="center"/>
    </xf>
    <xf numFmtId="0" fontId="11" fillId="19" borderId="0" xfId="1" applyFont="1" applyFill="1" applyAlignment="1">
      <alignment horizontal="right" vertical="center"/>
    </xf>
    <xf numFmtId="0" fontId="29" fillId="20" borderId="0" xfId="1" applyFont="1" applyFill="1" applyAlignment="1">
      <alignment vertical="center"/>
    </xf>
    <xf numFmtId="1" fontId="31" fillId="21" borderId="0" xfId="2" applyNumberFormat="1" applyFont="1" applyFill="1" applyAlignment="1">
      <alignment horizontal="center" vertical="center"/>
    </xf>
    <xf numFmtId="0" fontId="8" fillId="19" borderId="0" xfId="1" applyFont="1" applyFill="1" applyAlignment="1">
      <alignment vertical="center"/>
    </xf>
    <xf numFmtId="1" fontId="32" fillId="22" borderId="0" xfId="2" applyNumberFormat="1" applyFont="1" applyFill="1" applyAlignment="1">
      <alignment vertical="center" wrapText="1"/>
    </xf>
    <xf numFmtId="0" fontId="33" fillId="23" borderId="0" xfId="1" applyFont="1" applyFill="1" applyAlignment="1">
      <alignment horizontal="center" vertical="center"/>
    </xf>
    <xf numFmtId="0" fontId="8" fillId="19" borderId="5" xfId="1" applyFont="1" applyFill="1" applyBorder="1" applyAlignment="1">
      <alignment vertical="center"/>
    </xf>
    <xf numFmtId="0" fontId="13" fillId="4" borderId="0" xfId="2" applyFont="1" applyFill="1" applyAlignment="1">
      <alignment horizontal="center" vertical="center"/>
    </xf>
    <xf numFmtId="0" fontId="25" fillId="24" borderId="0" xfId="1" applyFont="1" applyFill="1" applyAlignment="1">
      <alignment horizontal="center" vertical="center"/>
    </xf>
    <xf numFmtId="0" fontId="21" fillId="13" borderId="0" xfId="1" applyFont="1" applyFill="1" applyAlignment="1">
      <alignment horizontal="center" vertical="center"/>
    </xf>
    <xf numFmtId="0" fontId="21" fillId="13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1" fontId="24" fillId="25" borderId="0" xfId="2" applyNumberFormat="1" applyFont="1" applyFill="1" applyAlignment="1">
      <alignment horizontal="left" vertical="center"/>
    </xf>
    <xf numFmtId="0" fontId="25" fillId="26" borderId="0" xfId="1" applyFont="1" applyFill="1" applyAlignment="1">
      <alignment horizontal="center" vertical="center"/>
    </xf>
    <xf numFmtId="1" fontId="8" fillId="19" borderId="0" xfId="1" applyNumberFormat="1" applyFont="1" applyFill="1" applyAlignment="1">
      <alignment vertical="center"/>
    </xf>
    <xf numFmtId="0" fontId="11" fillId="19" borderId="0" xfId="1" applyFont="1" applyFill="1" applyAlignment="1">
      <alignment horizontal="center" vertical="center"/>
    </xf>
    <xf numFmtId="0" fontId="8" fillId="27" borderId="0" xfId="1" applyFont="1" applyFill="1" applyAlignment="1">
      <alignment vertical="center"/>
    </xf>
    <xf numFmtId="0" fontId="8" fillId="27" borderId="0" xfId="1" applyFont="1" applyFill="1" applyAlignment="1">
      <alignment horizontal="right" vertical="center"/>
    </xf>
    <xf numFmtId="0" fontId="21" fillId="27" borderId="0" xfId="1" applyFont="1" applyFill="1" applyAlignment="1">
      <alignment horizontal="right" vertical="center"/>
    </xf>
    <xf numFmtId="0" fontId="21" fillId="27" borderId="0" xfId="1" applyFont="1" applyFill="1" applyAlignment="1">
      <alignment vertical="center"/>
    </xf>
    <xf numFmtId="0" fontId="8" fillId="27" borderId="0" xfId="1" applyFont="1" applyFill="1" applyAlignment="1">
      <alignment horizontal="center" vertical="center"/>
    </xf>
    <xf numFmtId="0" fontId="35" fillId="28" borderId="0" xfId="2" applyFont="1" applyFill="1" applyAlignment="1">
      <alignment horizontal="center" vertical="center"/>
    </xf>
    <xf numFmtId="0" fontId="8" fillId="6" borderId="0" xfId="1" applyFont="1" applyFill="1" applyAlignment="1">
      <alignment horizontal="center" vertical="center"/>
    </xf>
    <xf numFmtId="0" fontId="21" fillId="6" borderId="0" xfId="1" applyFont="1" applyFill="1" applyAlignment="1">
      <alignment vertical="center"/>
    </xf>
    <xf numFmtId="0" fontId="21" fillId="27" borderId="0" xfId="1" applyFont="1" applyFill="1" applyAlignment="1">
      <alignment horizontal="center" vertical="center"/>
    </xf>
    <xf numFmtId="0" fontId="30" fillId="19" borderId="0" xfId="1" applyFont="1" applyFill="1" applyAlignment="1">
      <alignment vertical="center"/>
    </xf>
    <xf numFmtId="0" fontId="36" fillId="30" borderId="0" xfId="7" applyFont="1" applyFill="1" applyAlignment="1">
      <alignment horizontal="center" vertical="center"/>
    </xf>
    <xf numFmtId="0" fontId="21" fillId="27" borderId="0" xfId="1" applyFont="1" applyFill="1" applyAlignment="1">
      <alignment horizontal="left" vertical="center"/>
    </xf>
    <xf numFmtId="0" fontId="37" fillId="0" borderId="0" xfId="1" applyFont="1" applyAlignment="1">
      <alignment vertical="center"/>
    </xf>
    <xf numFmtId="0" fontId="8" fillId="27" borderId="0" xfId="1" applyFont="1" applyFill="1" applyAlignment="1">
      <alignment horizontal="left" vertical="center"/>
    </xf>
    <xf numFmtId="0" fontId="11" fillId="19" borderId="6" xfId="1" applyFont="1" applyFill="1" applyBorder="1" applyAlignment="1">
      <alignment horizontal="right" vertical="center"/>
    </xf>
    <xf numFmtId="0" fontId="38" fillId="7" borderId="6" xfId="1" applyFont="1" applyFill="1" applyBorder="1" applyAlignment="1">
      <alignment vertical="center"/>
    </xf>
    <xf numFmtId="0" fontId="5" fillId="0" borderId="6" xfId="1" applyBorder="1" applyAlignment="1">
      <alignment vertical="center"/>
    </xf>
    <xf numFmtId="0" fontId="8" fillId="7" borderId="6" xfId="1" applyFont="1" applyFill="1" applyBorder="1" applyAlignment="1">
      <alignment vertical="center"/>
    </xf>
    <xf numFmtId="0" fontId="8" fillId="19" borderId="6" xfId="1" applyFont="1" applyFill="1" applyBorder="1" applyAlignment="1">
      <alignment vertical="center"/>
    </xf>
    <xf numFmtId="0" fontId="8" fillId="19" borderId="7" xfId="1" applyFont="1" applyFill="1" applyBorder="1" applyAlignment="1">
      <alignment vertical="center"/>
    </xf>
    <xf numFmtId="0" fontId="17" fillId="5" borderId="5" xfId="1" applyFont="1" applyFill="1" applyBorder="1" applyAlignment="1">
      <alignment vertical="center"/>
    </xf>
    <xf numFmtId="0" fontId="21" fillId="10" borderId="0" xfId="1" applyFont="1" applyFill="1" applyAlignment="1">
      <alignment vertical="center"/>
    </xf>
    <xf numFmtId="0" fontId="21" fillId="10" borderId="0" xfId="1" applyFont="1" applyFill="1" applyAlignment="1">
      <alignment horizontal="center" vertical="center"/>
    </xf>
    <xf numFmtId="0" fontId="39" fillId="10" borderId="0" xfId="1" applyFont="1" applyFill="1" applyAlignment="1">
      <alignment horizontal="center" vertical="center"/>
    </xf>
    <xf numFmtId="0" fontId="39" fillId="10" borderId="0" xfId="1" applyFont="1" applyFill="1" applyAlignment="1">
      <alignment vertical="center"/>
    </xf>
    <xf numFmtId="0" fontId="39" fillId="10" borderId="5" xfId="1" applyFont="1" applyFill="1" applyBorder="1" applyAlignment="1">
      <alignment vertical="center"/>
    </xf>
    <xf numFmtId="0" fontId="8" fillId="31" borderId="0" xfId="1" applyFont="1" applyFill="1" applyAlignment="1">
      <alignment vertical="center"/>
    </xf>
    <xf numFmtId="0" fontId="40" fillId="32" borderId="9" xfId="7" applyFont="1" applyFill="1" applyBorder="1" applyAlignment="1">
      <alignment horizontal="left" vertical="center"/>
    </xf>
    <xf numFmtId="166" fontId="25" fillId="30" borderId="0" xfId="7" applyNumberFormat="1" applyFont="1" applyFill="1" applyAlignment="1">
      <alignment horizontal="center" vertical="center" wrapText="1"/>
    </xf>
    <xf numFmtId="167" fontId="25" fillId="3" borderId="10" xfId="2" applyNumberFormat="1" applyFont="1" applyFill="1" applyBorder="1" applyAlignment="1">
      <alignment horizontal="center" vertical="center"/>
    </xf>
    <xf numFmtId="0" fontId="8" fillId="33" borderId="0" xfId="1" applyFont="1" applyFill="1" applyAlignment="1">
      <alignment vertical="center"/>
    </xf>
    <xf numFmtId="0" fontId="8" fillId="33" borderId="5" xfId="1" applyFont="1" applyFill="1" applyBorder="1" applyAlignment="1">
      <alignment vertical="center"/>
    </xf>
    <xf numFmtId="0" fontId="8" fillId="6" borderId="0" xfId="1" applyFont="1" applyFill="1" applyAlignment="1">
      <alignment horizontal="left" vertical="center"/>
    </xf>
    <xf numFmtId="0" fontId="42" fillId="13" borderId="0" xfId="1" applyFont="1" applyFill="1" applyAlignment="1">
      <alignment horizontal="center" vertical="center"/>
    </xf>
    <xf numFmtId="0" fontId="21" fillId="34" borderId="0" xfId="1" applyFont="1" applyFill="1" applyAlignment="1">
      <alignment horizontal="center" vertical="center"/>
    </xf>
    <xf numFmtId="0" fontId="21" fillId="34" borderId="0" xfId="1" applyFont="1" applyFill="1" applyAlignment="1">
      <alignment vertical="center"/>
    </xf>
    <xf numFmtId="0" fontId="38" fillId="32" borderId="9" xfId="8" applyFont="1" applyFill="1" applyBorder="1" applyAlignment="1">
      <alignment horizontal="center" vertical="center"/>
    </xf>
    <xf numFmtId="0" fontId="21" fillId="35" borderId="0" xfId="1" applyFont="1" applyFill="1" applyAlignment="1">
      <alignment horizontal="right" vertical="center"/>
    </xf>
    <xf numFmtId="0" fontId="43" fillId="35" borderId="0" xfId="1" applyFont="1" applyFill="1" applyAlignment="1">
      <alignment horizontal="center" vertical="center"/>
    </xf>
    <xf numFmtId="0" fontId="39" fillId="35" borderId="0" xfId="1" applyFont="1" applyFill="1" applyAlignment="1">
      <alignment horizontal="right" vertical="center"/>
    </xf>
    <xf numFmtId="0" fontId="39" fillId="35" borderId="0" xfId="1" applyFont="1" applyFill="1" applyAlignment="1">
      <alignment horizontal="center" vertical="center"/>
    </xf>
    <xf numFmtId="0" fontId="8" fillId="36" borderId="0" xfId="1" applyFont="1" applyFill="1" applyAlignment="1">
      <alignment horizontal="center" vertical="center"/>
    </xf>
    <xf numFmtId="0" fontId="8" fillId="36" borderId="0" xfId="1" applyFont="1" applyFill="1" applyAlignment="1">
      <alignment vertical="center"/>
    </xf>
    <xf numFmtId="0" fontId="43" fillId="31" borderId="0" xfId="1" applyFont="1" applyFill="1" applyAlignment="1">
      <alignment horizontal="center" vertical="center"/>
    </xf>
    <xf numFmtId="0" fontId="39" fillId="31" borderId="0" xfId="1" applyFont="1" applyFill="1" applyAlignment="1">
      <alignment horizontal="right" vertical="center"/>
    </xf>
    <xf numFmtId="0" fontId="39" fillId="31" borderId="0" xfId="1" applyFont="1" applyFill="1" applyAlignment="1">
      <alignment horizontal="center" vertical="center"/>
    </xf>
    <xf numFmtId="0" fontId="8" fillId="37" borderId="0" xfId="1" applyFont="1" applyFill="1" applyAlignment="1">
      <alignment vertical="center"/>
    </xf>
    <xf numFmtId="0" fontId="8" fillId="37" borderId="5" xfId="1" applyFont="1" applyFill="1" applyBorder="1" applyAlignment="1">
      <alignment vertical="center"/>
    </xf>
    <xf numFmtId="0" fontId="18" fillId="5" borderId="0" xfId="1" applyFont="1" applyFill="1" applyAlignment="1">
      <alignment horizontal="center" vertical="center"/>
    </xf>
    <xf numFmtId="0" fontId="18" fillId="5" borderId="5" xfId="1" applyFont="1" applyFill="1" applyBorder="1" applyAlignment="1">
      <alignment vertical="center"/>
    </xf>
    <xf numFmtId="0" fontId="39" fillId="13" borderId="0" xfId="1" applyFont="1" applyFill="1" applyAlignment="1">
      <alignment horizontal="center" vertical="center"/>
    </xf>
    <xf numFmtId="0" fontId="17" fillId="18" borderId="0" xfId="1" applyFont="1" applyFill="1" applyAlignment="1">
      <alignment horizontal="center" vertical="center"/>
    </xf>
    <xf numFmtId="0" fontId="21" fillId="33" borderId="0" xfId="1" applyFont="1" applyFill="1" applyAlignment="1">
      <alignment horizontal="center" vertical="center"/>
    </xf>
    <xf numFmtId="0" fontId="40" fillId="7" borderId="0" xfId="5" applyFont="1" applyFill="1" applyAlignment="1">
      <alignment horizontal="left" vertical="center"/>
    </xf>
    <xf numFmtId="0" fontId="18" fillId="13" borderId="0" xfId="1" applyFont="1" applyFill="1" applyAlignment="1">
      <alignment horizontal="center" vertical="center"/>
    </xf>
    <xf numFmtId="0" fontId="8" fillId="35" borderId="0" xfId="1" applyFont="1" applyFill="1" applyAlignment="1">
      <alignment vertical="center"/>
    </xf>
    <xf numFmtId="1" fontId="45" fillId="26" borderId="0" xfId="2" applyNumberFormat="1" applyFont="1" applyFill="1" applyAlignment="1">
      <alignment horizontal="left" vertical="center"/>
    </xf>
    <xf numFmtId="1" fontId="46" fillId="38" borderId="0" xfId="2" applyNumberFormat="1" applyFont="1" applyFill="1" applyAlignment="1">
      <alignment horizontal="left" vertical="center"/>
    </xf>
    <xf numFmtId="0" fontId="21" fillId="37" borderId="0" xfId="1" applyFont="1" applyFill="1" applyAlignment="1">
      <alignment horizontal="center" vertical="center"/>
    </xf>
    <xf numFmtId="0" fontId="8" fillId="33" borderId="0" xfId="1" applyFont="1" applyFill="1" applyAlignment="1">
      <alignment horizontal="center" vertical="center"/>
    </xf>
    <xf numFmtId="0" fontId="18" fillId="13" borderId="0" xfId="1" applyFont="1" applyFill="1" applyAlignment="1">
      <alignment vertical="center"/>
    </xf>
    <xf numFmtId="0" fontId="48" fillId="39" borderId="0" xfId="9" applyFont="1" applyFill="1" applyAlignment="1">
      <alignment horizontal="right" vertical="center"/>
    </xf>
    <xf numFmtId="0" fontId="49" fillId="7" borderId="0" xfId="10" applyFill="1" applyAlignment="1">
      <alignment vertical="center"/>
    </xf>
    <xf numFmtId="0" fontId="50" fillId="10" borderId="6" xfId="1" applyFont="1" applyFill="1" applyBorder="1" applyAlignment="1">
      <alignment vertical="center"/>
    </xf>
    <xf numFmtId="0" fontId="11" fillId="10" borderId="7" xfId="1" applyFont="1" applyFill="1" applyBorder="1" applyAlignment="1">
      <alignment horizontal="right" vertical="center"/>
    </xf>
    <xf numFmtId="0" fontId="39" fillId="27" borderId="0" xfId="1" applyFont="1" applyFill="1" applyAlignment="1">
      <alignment vertical="center"/>
    </xf>
    <xf numFmtId="0" fontId="39" fillId="27" borderId="0" xfId="1" applyFont="1" applyFill="1" applyAlignment="1">
      <alignment horizontal="right" vertical="center"/>
    </xf>
    <xf numFmtId="0" fontId="17" fillId="5" borderId="0" xfId="11" applyFont="1" applyFill="1" applyAlignment="1">
      <alignment vertical="center"/>
    </xf>
    <xf numFmtId="0" fontId="5" fillId="0" borderId="0" xfId="11" applyAlignment="1">
      <alignment vertical="center"/>
    </xf>
    <xf numFmtId="0" fontId="18" fillId="5" borderId="0" xfId="11" applyFont="1" applyFill="1" applyAlignment="1">
      <alignment horizontal="right" vertical="center"/>
    </xf>
    <xf numFmtId="0" fontId="11" fillId="6" borderId="0" xfId="11" applyFont="1" applyFill="1" applyAlignment="1">
      <alignment vertical="center"/>
    </xf>
    <xf numFmtId="0" fontId="8" fillId="0" borderId="0" xfId="11" applyFont="1" applyAlignment="1">
      <alignment vertical="center"/>
    </xf>
    <xf numFmtId="0" fontId="39" fillId="10" borderId="0" xfId="11" applyFont="1" applyFill="1" applyAlignment="1">
      <alignment horizontal="right" vertical="center"/>
    </xf>
    <xf numFmtId="0" fontId="54" fillId="6" borderId="0" xfId="11" applyFont="1" applyFill="1" applyAlignment="1">
      <alignment vertical="center"/>
    </xf>
    <xf numFmtId="0" fontId="8" fillId="6" borderId="0" xfId="11" applyFont="1" applyFill="1" applyAlignment="1">
      <alignment vertical="center"/>
    </xf>
    <xf numFmtId="0" fontId="21" fillId="10" borderId="0" xfId="11" applyFont="1" applyFill="1" applyAlignment="1">
      <alignment horizontal="right" vertical="center"/>
    </xf>
    <xf numFmtId="0" fontId="21" fillId="10" borderId="0" xfId="11" applyFont="1" applyFill="1" applyAlignment="1">
      <alignment horizontal="center" vertical="center"/>
    </xf>
    <xf numFmtId="0" fontId="21" fillId="10" borderId="0" xfId="11" applyFont="1" applyFill="1" applyAlignment="1">
      <alignment horizontal="left" vertical="center"/>
    </xf>
    <xf numFmtId="0" fontId="8" fillId="40" borderId="0" xfId="11" applyFont="1" applyFill="1" applyAlignment="1">
      <alignment horizontal="right" vertical="center"/>
    </xf>
    <xf numFmtId="0" fontId="8" fillId="40" borderId="0" xfId="11" applyFont="1" applyFill="1" applyAlignment="1">
      <alignment horizontal="center" vertical="center"/>
    </xf>
    <xf numFmtId="0" fontId="8" fillId="40" borderId="0" xfId="11" applyFont="1" applyFill="1" applyAlignment="1">
      <alignment vertical="center"/>
    </xf>
    <xf numFmtId="0" fontId="8" fillId="10" borderId="0" xfId="11" applyFont="1" applyFill="1" applyAlignment="1">
      <alignment horizontal="right" vertical="center"/>
    </xf>
    <xf numFmtId="0" fontId="8" fillId="10" borderId="0" xfId="11" applyFont="1" applyFill="1" applyAlignment="1">
      <alignment horizontal="center" vertical="center"/>
    </xf>
    <xf numFmtId="0" fontId="8" fillId="10" borderId="0" xfId="11" applyFont="1" applyFill="1" applyAlignment="1">
      <alignment vertical="center"/>
    </xf>
    <xf numFmtId="0" fontId="8" fillId="36" borderId="0" xfId="11" applyFont="1" applyFill="1" applyAlignment="1">
      <alignment horizontal="right" vertical="center"/>
    </xf>
    <xf numFmtId="0" fontId="8" fillId="36" borderId="0" xfId="11" applyFont="1" applyFill="1" applyAlignment="1">
      <alignment horizontal="center" vertical="center"/>
    </xf>
    <xf numFmtId="0" fontId="8" fillId="36" borderId="0" xfId="11" applyFont="1" applyFill="1" applyAlignment="1">
      <alignment vertical="center"/>
    </xf>
    <xf numFmtId="0" fontId="8" fillId="27" borderId="0" xfId="11" applyFont="1" applyFill="1" applyAlignment="1">
      <alignment horizontal="right" vertical="center"/>
    </xf>
    <xf numFmtId="0" fontId="8" fillId="27" borderId="0" xfId="11" applyFont="1" applyFill="1" applyAlignment="1">
      <alignment horizontal="center" vertical="center"/>
    </xf>
    <xf numFmtId="0" fontId="8" fillId="27" borderId="0" xfId="11" applyFont="1" applyFill="1" applyAlignment="1">
      <alignment vertical="center"/>
    </xf>
    <xf numFmtId="0" fontId="11" fillId="10" borderId="0" xfId="11" applyFont="1" applyFill="1" applyAlignment="1">
      <alignment horizontal="center" vertical="center"/>
    </xf>
    <xf numFmtId="0" fontId="21" fillId="6" borderId="0" xfId="11" applyFont="1" applyFill="1" applyAlignment="1">
      <alignment horizontal="center" vertical="center"/>
    </xf>
    <xf numFmtId="0" fontId="11" fillId="40" borderId="0" xfId="11" applyFont="1" applyFill="1" applyAlignment="1">
      <alignment horizontal="center" vertical="center"/>
    </xf>
    <xf numFmtId="0" fontId="21" fillId="6" borderId="0" xfId="11" applyFont="1" applyFill="1" applyAlignment="1">
      <alignment vertical="center"/>
    </xf>
    <xf numFmtId="0" fontId="8" fillId="6" borderId="0" xfId="11" applyFont="1" applyFill="1" applyAlignment="1">
      <alignment vertical="center" wrapText="1"/>
    </xf>
    <xf numFmtId="0" fontId="21" fillId="6" borderId="0" xfId="11" applyFont="1" applyFill="1" applyAlignment="1">
      <alignment vertical="center" wrapText="1"/>
    </xf>
    <xf numFmtId="0" fontId="11" fillId="41" borderId="0" xfId="11" applyFont="1" applyFill="1" applyAlignment="1">
      <alignment horizontal="right" vertical="center"/>
    </xf>
    <xf numFmtId="0" fontId="8" fillId="7" borderId="0" xfId="1" applyFont="1" applyFill="1" applyAlignment="1">
      <alignment vertical="center"/>
    </xf>
    <xf numFmtId="0" fontId="16" fillId="9" borderId="0" xfId="5" applyFont="1" applyFill="1" applyAlignment="1">
      <alignment horizontal="center" vertical="center" wrapText="1"/>
    </xf>
    <xf numFmtId="0" fontId="16" fillId="9" borderId="0" xfId="5" applyFont="1" applyFill="1" applyAlignment="1">
      <alignment horizontal="center" vertical="center"/>
    </xf>
    <xf numFmtId="0" fontId="9" fillId="29" borderId="0" xfId="5" applyFont="1" applyFill="1" applyAlignment="1">
      <alignment horizontal="center" vertical="center"/>
    </xf>
    <xf numFmtId="1" fontId="24" fillId="42" borderId="0" xfId="2" applyNumberFormat="1" applyFont="1" applyFill="1" applyAlignment="1">
      <alignment horizontal="left" vertical="center"/>
    </xf>
    <xf numFmtId="0" fontId="20" fillId="0" borderId="0" xfId="5" applyFont="1" applyAlignment="1">
      <alignment horizontal="center" vertical="center"/>
    </xf>
    <xf numFmtId="0" fontId="25" fillId="6" borderId="0" xfId="1" applyFont="1" applyFill="1" applyAlignment="1">
      <alignment vertical="center"/>
    </xf>
    <xf numFmtId="0" fontId="13" fillId="10" borderId="0" xfId="4" applyFont="1" applyFill="1" applyAlignment="1">
      <alignment horizontal="center" vertical="center"/>
    </xf>
    <xf numFmtId="0" fontId="9" fillId="43" borderId="0" xfId="5" applyFont="1" applyFill="1" applyAlignment="1">
      <alignment horizontal="center" vertical="center"/>
    </xf>
    <xf numFmtId="0" fontId="27" fillId="44" borderId="0" xfId="1" applyFont="1" applyFill="1" applyAlignment="1">
      <alignment horizontal="center" vertical="center"/>
    </xf>
    <xf numFmtId="164" fontId="55" fillId="27" borderId="0" xfId="5" applyNumberFormat="1" applyFont="1" applyFill="1" applyAlignment="1">
      <alignment horizontal="center" vertical="center"/>
    </xf>
    <xf numFmtId="0" fontId="34" fillId="3" borderId="0" xfId="6" applyFont="1" applyFill="1" applyAlignment="1">
      <alignment horizontal="center" vertical="center"/>
    </xf>
    <xf numFmtId="0" fontId="56" fillId="45" borderId="0" xfId="2" applyFont="1" applyFill="1" applyAlignment="1">
      <alignment horizontal="left" vertical="center"/>
    </xf>
    <xf numFmtId="0" fontId="9" fillId="3" borderId="0" xfId="5" applyFont="1" applyFill="1" applyAlignment="1">
      <alignment horizontal="center" vertical="center"/>
    </xf>
    <xf numFmtId="0" fontId="8" fillId="46" borderId="0" xfId="1" applyFont="1" applyFill="1" applyAlignment="1">
      <alignment vertical="center"/>
    </xf>
    <xf numFmtId="164" fontId="57" fillId="6" borderId="0" xfId="5" applyNumberFormat="1" applyFont="1" applyFill="1" applyAlignment="1">
      <alignment horizontal="center" vertical="center"/>
    </xf>
    <xf numFmtId="165" fontId="8" fillId="47" borderId="11" xfId="2" applyNumberFormat="1" applyFont="1" applyFill="1" applyBorder="1" applyAlignment="1">
      <alignment horizontal="center" vertical="center"/>
    </xf>
    <xf numFmtId="0" fontId="9" fillId="48" borderId="0" xfId="5" applyFont="1" applyFill="1" applyAlignment="1">
      <alignment horizontal="center" vertical="center"/>
    </xf>
    <xf numFmtId="0" fontId="58" fillId="7" borderId="8" xfId="5" applyFont="1" applyFill="1" applyBorder="1" applyAlignment="1">
      <alignment horizontal="center" vertical="center"/>
    </xf>
    <xf numFmtId="168" fontId="57" fillId="3" borderId="10" xfId="2" applyNumberFormat="1" applyFont="1" applyFill="1" applyBorder="1" applyAlignment="1">
      <alignment horizontal="center" vertical="center"/>
    </xf>
    <xf numFmtId="0" fontId="59" fillId="32" borderId="10" xfId="8" applyFont="1" applyFill="1" applyBorder="1" applyAlignment="1">
      <alignment horizontal="center" vertical="center"/>
    </xf>
    <xf numFmtId="165" fontId="41" fillId="49" borderId="10" xfId="2" applyNumberFormat="1" applyFont="1" applyFill="1" applyBorder="1" applyAlignment="1">
      <alignment horizontal="center" vertical="center"/>
    </xf>
    <xf numFmtId="0" fontId="58" fillId="10" borderId="8" xfId="5" applyFont="1" applyFill="1" applyBorder="1" applyAlignment="1">
      <alignment horizontal="center" vertical="center"/>
    </xf>
    <xf numFmtId="164" fontId="58" fillId="35" borderId="0" xfId="5" applyNumberFormat="1" applyFont="1" applyFill="1" applyAlignment="1">
      <alignment horizontal="center" vertical="center"/>
    </xf>
    <xf numFmtId="165" fontId="13" fillId="50" borderId="0" xfId="2" applyNumberFormat="1" applyFont="1" applyFill="1" applyAlignment="1">
      <alignment horizontal="center" vertical="center"/>
    </xf>
    <xf numFmtId="0" fontId="5" fillId="6" borderId="0" xfId="1" applyFill="1" applyAlignment="1">
      <alignment vertical="center"/>
    </xf>
    <xf numFmtId="0" fontId="44" fillId="6" borderId="0" xfId="5" applyFont="1" applyFill="1" applyAlignment="1">
      <alignment horizontal="right" vertical="center"/>
    </xf>
    <xf numFmtId="0" fontId="44" fillId="6" borderId="0" xfId="5" applyFont="1" applyFill="1" applyAlignment="1">
      <alignment horizontal="center" vertical="center"/>
    </xf>
    <xf numFmtId="0" fontId="15" fillId="6" borderId="0" xfId="5" applyFill="1" applyAlignment="1">
      <alignment horizontal="left" vertical="center"/>
    </xf>
    <xf numFmtId="0" fontId="9" fillId="52" borderId="0" xfId="5" applyFont="1" applyFill="1" applyAlignment="1">
      <alignment horizontal="center" vertical="center"/>
    </xf>
    <xf numFmtId="0" fontId="9" fillId="53" borderId="0" xfId="5" applyFont="1" applyFill="1" applyAlignment="1">
      <alignment horizontal="center" vertical="center"/>
    </xf>
    <xf numFmtId="0" fontId="60" fillId="6" borderId="0" xfId="5" applyFont="1" applyFill="1" applyAlignment="1">
      <alignment vertical="center"/>
    </xf>
    <xf numFmtId="0" fontId="15" fillId="6" borderId="0" xfId="5" applyFill="1" applyAlignment="1">
      <alignment vertical="center"/>
    </xf>
    <xf numFmtId="0" fontId="15" fillId="6" borderId="0" xfId="5" applyFill="1"/>
    <xf numFmtId="0" fontId="9" fillId="54" borderId="0" xfId="5" applyFont="1" applyFill="1" applyAlignment="1">
      <alignment horizontal="center" vertical="center"/>
    </xf>
    <xf numFmtId="0" fontId="51" fillId="10" borderId="0" xfId="5" applyFont="1" applyFill="1" applyAlignment="1">
      <alignment horizontal="center" vertical="center"/>
    </xf>
    <xf numFmtId="0" fontId="8" fillId="10" borderId="0" xfId="1" applyFont="1" applyFill="1" applyAlignment="1">
      <alignment vertical="center"/>
    </xf>
    <xf numFmtId="0" fontId="52" fillId="6" borderId="0" xfId="5" applyFont="1" applyFill="1" applyAlignment="1">
      <alignment vertical="center"/>
    </xf>
    <xf numFmtId="0" fontId="53" fillId="6" borderId="0" xfId="5" applyFont="1" applyFill="1" applyAlignment="1">
      <alignment horizontal="left" vertical="center"/>
    </xf>
    <xf numFmtId="0" fontId="51" fillId="6" borderId="0" xfId="5" applyFont="1" applyFill="1" applyAlignment="1">
      <alignment vertical="center"/>
    </xf>
    <xf numFmtId="0" fontId="9" fillId="55" borderId="0" xfId="5" applyFont="1" applyFill="1" applyAlignment="1">
      <alignment horizontal="center" vertical="center"/>
    </xf>
    <xf numFmtId="0" fontId="9" fillId="56" borderId="0" xfId="5" applyFont="1" applyFill="1" applyAlignment="1">
      <alignment horizontal="center" vertical="center"/>
    </xf>
    <xf numFmtId="0" fontId="2" fillId="57" borderId="0" xfId="2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8" borderId="0" xfId="0" applyFill="1"/>
    <xf numFmtId="0" fontId="61" fillId="58" borderId="12" xfId="12" applyFont="1" applyFill="1" applyBorder="1" applyAlignment="1">
      <alignment horizontal="center" vertical="center"/>
    </xf>
    <xf numFmtId="0" fontId="62" fillId="59" borderId="0" xfId="13" applyFont="1" applyFill="1" applyAlignment="1">
      <alignment horizontal="center" vertical="center"/>
    </xf>
    <xf numFmtId="0" fontId="63" fillId="60" borderId="13" xfId="12" applyFont="1" applyFill="1" applyBorder="1" applyAlignment="1">
      <alignment horizontal="center" vertical="center"/>
    </xf>
    <xf numFmtId="0" fontId="63" fillId="61" borderId="13" xfId="12" applyFont="1" applyFill="1" applyBorder="1" applyAlignment="1">
      <alignment horizontal="center" vertical="center"/>
    </xf>
    <xf numFmtId="0" fontId="65" fillId="61" borderId="0" xfId="2" applyFont="1" applyFill="1" applyAlignment="1">
      <alignment horizontal="left" vertical="center"/>
    </xf>
    <xf numFmtId="0" fontId="66" fillId="61" borderId="0" xfId="2" applyFont="1" applyFill="1" applyAlignment="1">
      <alignment horizontal="left" vertical="center"/>
    </xf>
    <xf numFmtId="0" fontId="69" fillId="61" borderId="0" xfId="2" applyFont="1" applyFill="1" applyAlignment="1">
      <alignment horizontal="right" vertical="center"/>
    </xf>
    <xf numFmtId="0" fontId="70" fillId="61" borderId="0" xfId="2" applyFont="1" applyFill="1" applyAlignment="1">
      <alignment horizontal="left" vertical="center"/>
    </xf>
    <xf numFmtId="0" fontId="1" fillId="0" borderId="0" xfId="0" applyFont="1"/>
    <xf numFmtId="0" fontId="1" fillId="8" borderId="0" xfId="0" applyFont="1" applyFill="1"/>
    <xf numFmtId="0" fontId="0" fillId="8" borderId="0" xfId="0" applyFill="1" applyAlignment="1">
      <alignment horizontal="left" vertical="center"/>
    </xf>
    <xf numFmtId="0" fontId="1" fillId="8" borderId="0" xfId="13" applyFill="1" applyAlignment="1">
      <alignment horizontal="center" vertical="center"/>
    </xf>
    <xf numFmtId="0" fontId="1" fillId="8" borderId="0" xfId="13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1" fillId="8" borderId="14" xfId="0" applyFont="1" applyFill="1" applyBorder="1" applyAlignment="1">
      <alignment vertical="center"/>
    </xf>
    <xf numFmtId="0" fontId="1" fillId="8" borderId="15" xfId="0" applyFont="1" applyFill="1" applyBorder="1" applyAlignment="1">
      <alignment vertical="center"/>
    </xf>
    <xf numFmtId="0" fontId="75" fillId="0" borderId="17" xfId="0" applyFont="1" applyBorder="1" applyAlignment="1">
      <alignment horizontal="center" vertical="center" wrapText="1"/>
    </xf>
    <xf numFmtId="0" fontId="79" fillId="68" borderId="20" xfId="13" applyFont="1" applyFill="1" applyBorder="1" applyAlignment="1">
      <alignment horizontal="center" vertical="center"/>
    </xf>
    <xf numFmtId="167" fontId="77" fillId="8" borderId="0" xfId="2" applyNumberFormat="1" applyFont="1" applyFill="1" applyAlignment="1">
      <alignment horizontal="center" vertical="center"/>
    </xf>
    <xf numFmtId="0" fontId="1" fillId="0" borderId="0" xfId="13" applyAlignment="1">
      <alignment vertical="center"/>
    </xf>
    <xf numFmtId="0" fontId="4" fillId="61" borderId="0" xfId="13" applyFont="1" applyFill="1" applyAlignment="1">
      <alignment horizontal="center" vertical="center"/>
    </xf>
    <xf numFmtId="0" fontId="8" fillId="81" borderId="0" xfId="1" applyFont="1" applyFill="1" applyAlignment="1">
      <alignment vertical="center"/>
    </xf>
    <xf numFmtId="0" fontId="51" fillId="0" borderId="0" xfId="8" applyFont="1" applyAlignment="1">
      <alignment vertical="center"/>
    </xf>
    <xf numFmtId="0" fontId="81" fillId="8" borderId="0" xfId="20" applyFont="1" applyFill="1" applyAlignment="1">
      <alignment horizontal="left" vertical="center"/>
    </xf>
    <xf numFmtId="0" fontId="5" fillId="0" borderId="0" xfId="7" applyAlignment="1">
      <alignment vertical="center"/>
    </xf>
    <xf numFmtId="0" fontId="13" fillId="85" borderId="0" xfId="7" applyFont="1" applyFill="1" applyAlignment="1">
      <alignment vertical="center"/>
    </xf>
    <xf numFmtId="0" fontId="84" fillId="85" borderId="0" xfId="7" applyFont="1" applyFill="1" applyAlignment="1">
      <alignment horizontal="center" vertical="center" wrapText="1"/>
    </xf>
    <xf numFmtId="0" fontId="85" fillId="86" borderId="0" xfId="21" applyFont="1" applyFill="1" applyAlignment="1">
      <alignment horizontal="center" vertical="center"/>
    </xf>
    <xf numFmtId="0" fontId="83" fillId="0" borderId="0" xfId="7" applyFont="1" applyAlignment="1">
      <alignment vertical="center" wrapText="1"/>
    </xf>
    <xf numFmtId="0" fontId="83" fillId="0" borderId="24" xfId="7" applyFont="1" applyBorder="1" applyAlignment="1">
      <alignment vertical="center" wrapText="1"/>
    </xf>
    <xf numFmtId="0" fontId="46" fillId="0" borderId="0" xfId="7" applyFont="1" applyAlignment="1">
      <alignment horizontal="center" vertical="center" wrapText="1"/>
    </xf>
    <xf numFmtId="0" fontId="46" fillId="7" borderId="0" xfId="22" applyFont="1" applyFill="1" applyAlignment="1">
      <alignment horizontal="left" vertical="center"/>
    </xf>
    <xf numFmtId="0" fontId="87" fillId="0" borderId="0" xfId="7" applyFont="1" applyAlignment="1">
      <alignment vertical="center" wrapText="1"/>
    </xf>
    <xf numFmtId="0" fontId="87" fillId="0" borderId="0" xfId="7" applyFont="1" applyAlignment="1">
      <alignment horizontal="left" vertical="center" wrapText="1"/>
    </xf>
    <xf numFmtId="0" fontId="87" fillId="0" borderId="0" xfId="7" applyFont="1" applyAlignment="1">
      <alignment horizontal="left" vertical="center"/>
    </xf>
    <xf numFmtId="0" fontId="88" fillId="0" borderId="0" xfId="7" applyFont="1" applyAlignment="1">
      <alignment horizontal="left" vertical="center" wrapText="1"/>
    </xf>
    <xf numFmtId="0" fontId="13" fillId="7" borderId="0" xfId="21" applyFont="1" applyFill="1" applyAlignment="1">
      <alignment horizontal="right" vertical="center"/>
    </xf>
    <xf numFmtId="0" fontId="89" fillId="89" borderId="7" xfId="2" applyFont="1" applyFill="1" applyBorder="1" applyAlignment="1">
      <alignment horizontal="center" vertical="center"/>
    </xf>
    <xf numFmtId="0" fontId="90" fillId="0" borderId="0" xfId="7" applyFont="1" applyAlignment="1">
      <alignment horizontal="left" vertical="center"/>
    </xf>
    <xf numFmtId="0" fontId="46" fillId="0" borderId="0" xfId="7" applyFont="1" applyAlignment="1">
      <alignment horizontal="left" vertical="center"/>
    </xf>
    <xf numFmtId="0" fontId="84" fillId="90" borderId="0" xfId="7" applyFont="1" applyFill="1" applyAlignment="1">
      <alignment horizontal="center" vertical="center" wrapText="1"/>
    </xf>
    <xf numFmtId="0" fontId="27" fillId="91" borderId="0" xfId="7" applyFont="1" applyFill="1" applyAlignment="1">
      <alignment horizontal="center" vertical="center" wrapText="1"/>
    </xf>
    <xf numFmtId="0" fontId="18" fillId="44" borderId="0" xfId="7" applyFont="1" applyFill="1" applyAlignment="1">
      <alignment horizontal="center" vertical="center" wrapText="1"/>
    </xf>
    <xf numFmtId="0" fontId="91" fillId="92" borderId="0" xfId="7" applyFont="1" applyFill="1" applyAlignment="1">
      <alignment horizontal="center" vertical="center" wrapText="1"/>
    </xf>
    <xf numFmtId="0" fontId="46" fillId="2" borderId="25" xfId="7" applyFont="1" applyFill="1" applyBorder="1" applyAlignment="1">
      <alignment horizontal="center" vertical="center" wrapText="1"/>
    </xf>
    <xf numFmtId="0" fontId="46" fillId="93" borderId="26" xfId="7" applyFont="1" applyFill="1" applyBorder="1" applyAlignment="1">
      <alignment horizontal="left" vertical="center" wrapText="1"/>
    </xf>
    <xf numFmtId="0" fontId="46" fillId="32" borderId="26" xfId="7" applyFont="1" applyFill="1" applyBorder="1" applyAlignment="1">
      <alignment vertical="center" wrapText="1"/>
    </xf>
    <xf numFmtId="0" fontId="46" fillId="82" borderId="26" xfId="7" applyFont="1" applyFill="1" applyBorder="1" applyAlignment="1">
      <alignment vertical="center" wrapText="1"/>
    </xf>
    <xf numFmtId="0" fontId="46" fillId="93" borderId="26" xfId="7" applyFont="1" applyFill="1" applyBorder="1" applyAlignment="1">
      <alignment horizontal="center" vertical="center" wrapText="1"/>
    </xf>
    <xf numFmtId="0" fontId="46" fillId="82" borderId="27" xfId="7" applyFont="1" applyFill="1" applyBorder="1" applyAlignment="1">
      <alignment horizontal="center" vertical="center" wrapText="1"/>
    </xf>
    <xf numFmtId="0" fontId="46" fillId="2" borderId="28" xfId="7" applyFont="1" applyFill="1" applyBorder="1" applyAlignment="1">
      <alignment horizontal="center" vertical="center" wrapText="1"/>
    </xf>
    <xf numFmtId="0" fontId="46" fillId="93" borderId="29" xfId="7" applyFont="1" applyFill="1" applyBorder="1" applyAlignment="1">
      <alignment horizontal="left" vertical="center" wrapText="1"/>
    </xf>
    <xf numFmtId="0" fontId="46" fillId="32" borderId="29" xfId="7" applyFont="1" applyFill="1" applyBorder="1" applyAlignment="1">
      <alignment vertical="center" wrapText="1"/>
    </xf>
    <xf numFmtId="0" fontId="46" fillId="82" borderId="29" xfId="7" applyFont="1" applyFill="1" applyBorder="1" applyAlignment="1">
      <alignment vertical="center" wrapText="1"/>
    </xf>
    <xf numFmtId="0" fontId="46" fillId="93" borderId="29" xfId="7" applyFont="1" applyFill="1" applyBorder="1" applyAlignment="1">
      <alignment horizontal="center" vertical="center" wrapText="1"/>
    </xf>
    <xf numFmtId="0" fontId="46" fillId="82" borderId="30" xfId="7" applyFont="1" applyFill="1" applyBorder="1" applyAlignment="1">
      <alignment horizontal="center" vertical="center" wrapText="1"/>
    </xf>
    <xf numFmtId="0" fontId="46" fillId="0" borderId="0" xfId="7" applyFont="1" applyAlignment="1">
      <alignment horizontal="left" vertical="center" wrapText="1"/>
    </xf>
    <xf numFmtId="0" fontId="46" fillId="0" borderId="0" xfId="7" applyFont="1" applyAlignment="1">
      <alignment vertical="center" wrapText="1"/>
    </xf>
    <xf numFmtId="0" fontId="18" fillId="94" borderId="31" xfId="7" applyFont="1" applyFill="1" applyBorder="1" applyAlignment="1">
      <alignment horizontal="center" vertical="center" wrapText="1"/>
    </xf>
    <xf numFmtId="0" fontId="18" fillId="94" borderId="32" xfId="7" applyFont="1" applyFill="1" applyBorder="1" applyAlignment="1">
      <alignment horizontal="left" vertical="center" wrapText="1"/>
    </xf>
    <xf numFmtId="0" fontId="18" fillId="94" borderId="32" xfId="7" applyFont="1" applyFill="1" applyBorder="1" applyAlignment="1">
      <alignment vertical="center" wrapText="1"/>
    </xf>
    <xf numFmtId="0" fontId="18" fillId="94" borderId="33" xfId="7" applyFont="1" applyFill="1" applyBorder="1" applyAlignment="1">
      <alignment vertical="center" wrapText="1"/>
    </xf>
    <xf numFmtId="0" fontId="46" fillId="0" borderId="34" xfId="7" applyFont="1" applyBorder="1" applyAlignment="1">
      <alignment horizontal="center" vertical="center" wrapText="1"/>
    </xf>
    <xf numFmtId="0" fontId="46" fillId="0" borderId="9" xfId="7" applyFont="1" applyBorder="1" applyAlignment="1">
      <alignment horizontal="left" vertical="center" wrapText="1"/>
    </xf>
    <xf numFmtId="0" fontId="46" fillId="0" borderId="9" xfId="7" applyFont="1" applyBorder="1" applyAlignment="1">
      <alignment vertical="center" wrapText="1"/>
    </xf>
    <xf numFmtId="0" fontId="46" fillId="0" borderId="35" xfId="7" applyFont="1" applyBorder="1" applyAlignment="1">
      <alignment vertical="center" wrapText="1"/>
    </xf>
    <xf numFmtId="0" fontId="46" fillId="0" borderId="36" xfId="7" applyFont="1" applyBorder="1" applyAlignment="1">
      <alignment horizontal="center" vertical="center" wrapText="1"/>
    </xf>
    <xf numFmtId="0" fontId="46" fillId="0" borderId="37" xfId="7" applyFont="1" applyBorder="1" applyAlignment="1">
      <alignment horizontal="left" vertical="center" wrapText="1"/>
    </xf>
    <xf numFmtId="0" fontId="46" fillId="0" borderId="37" xfId="7" applyFont="1" applyBorder="1" applyAlignment="1">
      <alignment vertical="center" wrapText="1"/>
    </xf>
    <xf numFmtId="0" fontId="46" fillId="0" borderId="38" xfId="7" applyFont="1" applyBorder="1" applyAlignment="1">
      <alignment vertical="center" wrapText="1"/>
    </xf>
    <xf numFmtId="0" fontId="93" fillId="0" borderId="0" xfId="15" applyFont="1" applyAlignment="1">
      <alignment horizontal="right" vertical="center" wrapText="1"/>
    </xf>
    <xf numFmtId="0" fontId="90" fillId="0" borderId="0" xfId="15" applyFont="1" applyAlignment="1">
      <alignment vertical="center" wrapText="1"/>
    </xf>
    <xf numFmtId="0" fontId="90" fillId="0" borderId="0" xfId="15" applyFont="1" applyAlignment="1">
      <alignment horizontal="right" vertical="center" wrapText="1"/>
    </xf>
    <xf numFmtId="0" fontId="46" fillId="0" borderId="0" xfId="15" applyFont="1" applyAlignment="1">
      <alignment vertical="center"/>
    </xf>
    <xf numFmtId="0" fontId="46" fillId="0" borderId="0" xfId="15" applyFont="1" applyAlignment="1">
      <alignment horizontal="right" vertical="center" wrapText="1"/>
    </xf>
    <xf numFmtId="0" fontId="46" fillId="0" borderId="0" xfId="15" applyFont="1" applyAlignment="1">
      <alignment vertical="center" wrapText="1"/>
    </xf>
    <xf numFmtId="0" fontId="94" fillId="0" borderId="0" xfId="15" applyFont="1" applyAlignment="1">
      <alignment horizontal="left" vertical="center"/>
    </xf>
    <xf numFmtId="0" fontId="46" fillId="0" borderId="0" xfId="7" applyFont="1" applyAlignment="1">
      <alignment vertical="center"/>
    </xf>
    <xf numFmtId="0" fontId="52" fillId="0" borderId="0" xfId="15" applyFont="1" applyAlignment="1">
      <alignment vertical="center"/>
    </xf>
    <xf numFmtId="0" fontId="51" fillId="0" borderId="0" xfId="15" applyFont="1" applyAlignment="1">
      <alignment vertical="center"/>
    </xf>
    <xf numFmtId="0" fontId="51" fillId="0" borderId="0" xfId="15" applyFont="1" applyAlignment="1">
      <alignment horizontal="right" vertical="center" wrapText="1"/>
    </xf>
    <xf numFmtId="0" fontId="46" fillId="0" borderId="0" xfId="15" applyFont="1" applyAlignment="1">
      <alignment horizontal="left" vertical="center" wrapText="1"/>
    </xf>
    <xf numFmtId="0" fontId="25" fillId="0" borderId="0" xfId="15" applyFont="1" applyAlignment="1">
      <alignment horizontal="right" vertical="center"/>
    </xf>
    <xf numFmtId="0" fontId="15" fillId="0" borderId="0" xfId="15"/>
    <xf numFmtId="0" fontId="25" fillId="0" borderId="0" xfId="21" applyFont="1" applyAlignment="1">
      <alignment horizontal="right" vertical="center" wrapText="1"/>
    </xf>
    <xf numFmtId="0" fontId="25" fillId="0" borderId="0" xfId="21" applyFont="1" applyAlignment="1">
      <alignment vertical="center" wrapText="1"/>
    </xf>
    <xf numFmtId="0" fontId="51" fillId="0" borderId="0" xfId="21" applyFont="1" applyAlignment="1">
      <alignment horizontal="right" vertical="center" wrapText="1"/>
    </xf>
    <xf numFmtId="0" fontId="52" fillId="0" borderId="0" xfId="21" applyFont="1" applyAlignment="1">
      <alignment vertical="center"/>
    </xf>
    <xf numFmtId="0" fontId="52" fillId="0" borderId="0" xfId="21" applyFont="1" applyAlignment="1">
      <alignment vertical="center" wrapText="1"/>
    </xf>
    <xf numFmtId="0" fontId="35" fillId="0" borderId="0" xfId="21" applyFont="1" applyAlignment="1">
      <alignment horizontal="center" vertical="center" wrapText="1"/>
    </xf>
    <xf numFmtId="0" fontId="51" fillId="0" borderId="0" xfId="21" applyFont="1" applyAlignment="1">
      <alignment horizontal="right" vertical="center"/>
    </xf>
    <xf numFmtId="0" fontId="35" fillId="0" borderId="0" xfId="21" applyFont="1" applyAlignment="1">
      <alignment vertical="center" wrapText="1"/>
    </xf>
    <xf numFmtId="0" fontId="52" fillId="0" borderId="0" xfId="21" applyFont="1" applyAlignment="1">
      <alignment horizontal="right" vertical="center"/>
    </xf>
    <xf numFmtId="0" fontId="25" fillId="0" borderId="0" xfId="21" applyFont="1" applyAlignment="1">
      <alignment vertical="center"/>
    </xf>
    <xf numFmtId="0" fontId="94" fillId="0" borderId="0" xfId="21" applyFont="1" applyAlignment="1">
      <alignment horizontal="right" vertical="center"/>
    </xf>
    <xf numFmtId="0" fontId="25" fillId="0" borderId="0" xfId="21" applyFont="1" applyAlignment="1">
      <alignment horizontal="right" vertical="center"/>
    </xf>
    <xf numFmtId="0" fontId="35" fillId="0" borderId="0" xfId="21" applyFont="1" applyAlignment="1">
      <alignment vertical="center"/>
    </xf>
    <xf numFmtId="0" fontId="35" fillId="0" borderId="0" xfId="21" applyFont="1" applyAlignment="1">
      <alignment horizontal="right" vertical="center"/>
    </xf>
    <xf numFmtId="0" fontId="51" fillId="0" borderId="0" xfId="21" applyFont="1" applyAlignment="1">
      <alignment vertical="center"/>
    </xf>
    <xf numFmtId="0" fontId="90" fillId="0" borderId="0" xfId="21" applyFont="1" applyAlignment="1">
      <alignment horizontal="right" vertical="center"/>
    </xf>
    <xf numFmtId="0" fontId="46" fillId="0" borderId="0" xfId="21" applyFont="1" applyAlignment="1">
      <alignment vertical="center"/>
    </xf>
    <xf numFmtId="0" fontId="90" fillId="0" borderId="0" xfId="21" applyFont="1" applyAlignment="1">
      <alignment vertical="center"/>
    </xf>
    <xf numFmtId="0" fontId="46" fillId="0" borderId="0" xfId="21" applyFont="1" applyAlignment="1">
      <alignment horizontal="left" vertical="center"/>
    </xf>
    <xf numFmtId="0" fontId="25" fillId="0" borderId="0" xfId="7" applyFont="1" applyAlignment="1">
      <alignment horizontal="left" vertical="center"/>
    </xf>
    <xf numFmtId="0" fontId="5" fillId="0" borderId="0" xfId="7" applyAlignment="1">
      <alignment horizontal="left" vertical="center"/>
    </xf>
    <xf numFmtId="0" fontId="13" fillId="0" borderId="0" xfId="7" applyFont="1" applyAlignment="1">
      <alignment vertical="center"/>
    </xf>
    <xf numFmtId="0" fontId="83" fillId="0" borderId="39" xfId="7" applyFont="1" applyBorder="1" applyAlignment="1">
      <alignment vertical="center" wrapText="1"/>
    </xf>
    <xf numFmtId="0" fontId="83" fillId="0" borderId="40" xfId="7" applyFont="1" applyBorder="1" applyAlignment="1">
      <alignment vertical="center" wrapText="1"/>
    </xf>
    <xf numFmtId="0" fontId="15" fillId="0" borderId="0" xfId="15" applyAlignment="1">
      <alignment vertical="center"/>
    </xf>
    <xf numFmtId="0" fontId="90" fillId="95" borderId="5" xfId="2" applyFont="1" applyFill="1" applyBorder="1" applyAlignment="1">
      <alignment horizontal="center" vertical="center"/>
    </xf>
    <xf numFmtId="0" fontId="52" fillId="0" borderId="0" xfId="23"/>
    <xf numFmtId="0" fontId="21" fillId="96" borderId="0" xfId="1" applyFont="1" applyFill="1" applyAlignment="1">
      <alignment horizontal="center" vertical="center"/>
    </xf>
    <xf numFmtId="0" fontId="95" fillId="5" borderId="0" xfId="1" applyFont="1" applyFill="1" applyAlignment="1">
      <alignment vertical="center"/>
    </xf>
    <xf numFmtId="0" fontId="95" fillId="0" borderId="0" xfId="1" applyFont="1" applyAlignment="1">
      <alignment vertical="center"/>
    </xf>
    <xf numFmtId="0" fontId="96" fillId="98" borderId="0" xfId="1" applyFont="1" applyFill="1" applyAlignment="1">
      <alignment horizontal="center" vertical="center"/>
    </xf>
    <xf numFmtId="0" fontId="96" fillId="98" borderId="0" xfId="1" applyFont="1" applyFill="1" applyAlignment="1">
      <alignment vertical="center"/>
    </xf>
    <xf numFmtId="0" fontId="95" fillId="98" borderId="0" xfId="1" applyFont="1" applyFill="1" applyAlignment="1">
      <alignment vertical="center"/>
    </xf>
    <xf numFmtId="0" fontId="95" fillId="99" borderId="0" xfId="1" applyFont="1" applyFill="1" applyAlignment="1">
      <alignment horizontal="center" vertical="center"/>
    </xf>
    <xf numFmtId="0" fontId="95" fillId="8" borderId="0" xfId="1" applyFont="1" applyFill="1" applyAlignment="1">
      <alignment vertical="center"/>
    </xf>
    <xf numFmtId="0" fontId="96" fillId="96" borderId="0" xfId="1" applyFont="1" applyFill="1" applyAlignment="1">
      <alignment horizontal="center" vertical="center"/>
    </xf>
    <xf numFmtId="0" fontId="96" fillId="96" borderId="0" xfId="1" applyFont="1" applyFill="1" applyAlignment="1">
      <alignment vertical="center"/>
    </xf>
    <xf numFmtId="0" fontId="95" fillId="100" borderId="0" xfId="1" applyFont="1" applyFill="1" applyAlignment="1">
      <alignment horizontal="center" vertical="center"/>
    </xf>
    <xf numFmtId="0" fontId="95" fillId="101" borderId="0" xfId="1" applyFont="1" applyFill="1" applyAlignment="1">
      <alignment horizontal="center" vertical="center"/>
    </xf>
    <xf numFmtId="0" fontId="95" fillId="101" borderId="0" xfId="1" applyFont="1" applyFill="1" applyAlignment="1">
      <alignment vertical="center"/>
    </xf>
    <xf numFmtId="0" fontId="95" fillId="101" borderId="0" xfId="1" applyFont="1" applyFill="1" applyAlignment="1">
      <alignment vertical="center" wrapText="1"/>
    </xf>
    <xf numFmtId="0" fontId="95" fillId="102" borderId="0" xfId="1" applyFont="1" applyFill="1" applyAlignment="1">
      <alignment horizontal="center" vertical="center"/>
    </xf>
    <xf numFmtId="0" fontId="18" fillId="5" borderId="0" xfId="1" applyFont="1" applyFill="1" applyAlignment="1">
      <alignment horizontal="right" vertical="center" wrapText="1"/>
    </xf>
    <xf numFmtId="0" fontId="18" fillId="5" borderId="0" xfId="1" applyFont="1" applyFill="1" applyAlignment="1">
      <alignment horizontal="center" vertical="center" wrapText="1"/>
    </xf>
    <xf numFmtId="0" fontId="96" fillId="103" borderId="0" xfId="1" applyFont="1" applyFill="1" applyAlignment="1">
      <alignment horizontal="right" vertical="center" wrapText="1"/>
    </xf>
    <xf numFmtId="0" fontId="95" fillId="103" borderId="0" xfId="1" applyFont="1" applyFill="1" applyAlignment="1">
      <alignment vertical="center"/>
    </xf>
    <xf numFmtId="0" fontId="97" fillId="99" borderId="0" xfId="1" applyFont="1" applyFill="1" applyAlignment="1">
      <alignment horizontal="center" vertical="center"/>
    </xf>
    <xf numFmtId="0" fontId="95" fillId="103" borderId="0" xfId="1" applyFont="1" applyFill="1" applyAlignment="1">
      <alignment vertical="center" wrapText="1"/>
    </xf>
    <xf numFmtId="0" fontId="96" fillId="104" borderId="0" xfId="1" applyFont="1" applyFill="1" applyAlignment="1">
      <alignment horizontal="right" vertical="center" wrapText="1"/>
    </xf>
    <xf numFmtId="0" fontId="95" fillId="104" borderId="0" xfId="1" applyFont="1" applyFill="1" applyAlignment="1">
      <alignment vertical="center"/>
    </xf>
    <xf numFmtId="0" fontId="95" fillId="104" borderId="0" xfId="1" applyFont="1" applyFill="1" applyAlignment="1">
      <alignment vertical="center" wrapText="1"/>
    </xf>
    <xf numFmtId="0" fontId="95" fillId="105" borderId="0" xfId="1" applyFont="1" applyFill="1" applyAlignment="1">
      <alignment horizontal="center" vertical="center"/>
    </xf>
    <xf numFmtId="0" fontId="95" fillId="105" borderId="0" xfId="1" applyFont="1" applyFill="1" applyAlignment="1">
      <alignment vertical="center"/>
    </xf>
    <xf numFmtId="0" fontId="95" fillId="105" borderId="0" xfId="1" applyFont="1" applyFill="1" applyAlignment="1">
      <alignment vertical="center" wrapText="1"/>
    </xf>
    <xf numFmtId="0" fontId="98" fillId="100" borderId="0" xfId="1" applyFont="1" applyFill="1" applyAlignment="1">
      <alignment horizontal="center" vertical="center"/>
    </xf>
    <xf numFmtId="0" fontId="95" fillId="106" borderId="0" xfId="1" applyFont="1" applyFill="1" applyAlignment="1">
      <alignment vertical="center"/>
    </xf>
    <xf numFmtId="0" fontId="95" fillId="106" borderId="0" xfId="1" applyFont="1" applyFill="1" applyAlignment="1">
      <alignment horizontal="right" vertical="center" wrapText="1"/>
    </xf>
    <xf numFmtId="0" fontId="95" fillId="106" borderId="0" xfId="1" applyFont="1" applyFill="1" applyAlignment="1">
      <alignment horizontal="left" vertical="center" wrapText="1"/>
    </xf>
    <xf numFmtId="0" fontId="96" fillId="107" borderId="0" xfId="1" applyFont="1" applyFill="1" applyAlignment="1">
      <alignment horizontal="right" vertical="center" wrapText="1"/>
    </xf>
    <xf numFmtId="0" fontId="95" fillId="107" borderId="0" xfId="1" applyFont="1" applyFill="1" applyAlignment="1">
      <alignment vertical="center"/>
    </xf>
    <xf numFmtId="0" fontId="95" fillId="107" borderId="0" xfId="1" applyFont="1" applyFill="1" applyAlignment="1">
      <alignment vertical="center" wrapText="1"/>
    </xf>
    <xf numFmtId="0" fontId="99" fillId="108" borderId="0" xfId="1" applyFont="1" applyFill="1" applyAlignment="1">
      <alignment horizontal="center" vertical="center"/>
    </xf>
    <xf numFmtId="0" fontId="95" fillId="108" borderId="0" xfId="1" applyFont="1" applyFill="1" applyAlignment="1">
      <alignment vertical="center"/>
    </xf>
    <xf numFmtId="0" fontId="95" fillId="108" borderId="0" xfId="1" applyFont="1" applyFill="1" applyAlignment="1">
      <alignment vertical="center" wrapText="1"/>
    </xf>
    <xf numFmtId="0" fontId="96" fillId="109" borderId="0" xfId="1" applyFont="1" applyFill="1" applyAlignment="1">
      <alignment horizontal="right" vertical="center" wrapText="1"/>
    </xf>
    <xf numFmtId="0" fontId="95" fillId="109" borderId="0" xfId="1" applyFont="1" applyFill="1" applyAlignment="1">
      <alignment vertical="center"/>
    </xf>
    <xf numFmtId="0" fontId="95" fillId="109" borderId="0" xfId="1" applyFont="1" applyFill="1" applyAlignment="1">
      <alignment vertical="center" wrapText="1"/>
    </xf>
    <xf numFmtId="0" fontId="96" fillId="110" borderId="0" xfId="1" applyFont="1" applyFill="1" applyAlignment="1">
      <alignment horizontal="right" vertical="center" wrapText="1"/>
    </xf>
    <xf numFmtId="0" fontId="95" fillId="110" borderId="0" xfId="1" applyFont="1" applyFill="1" applyAlignment="1">
      <alignment vertical="center"/>
    </xf>
    <xf numFmtId="0" fontId="95" fillId="110" borderId="0" xfId="1" applyFont="1" applyFill="1" applyAlignment="1">
      <alignment vertical="center" wrapText="1"/>
    </xf>
    <xf numFmtId="0" fontId="96" fillId="111" borderId="0" xfId="1" applyFont="1" applyFill="1" applyAlignment="1">
      <alignment horizontal="right" vertical="center" wrapText="1"/>
    </xf>
    <xf numFmtId="0" fontId="95" fillId="111" borderId="0" xfId="1" applyFont="1" applyFill="1" applyAlignment="1">
      <alignment vertical="center"/>
    </xf>
    <xf numFmtId="0" fontId="95" fillId="111" borderId="0" xfId="1" applyFont="1" applyFill="1" applyAlignment="1">
      <alignment vertical="center" wrapText="1"/>
    </xf>
    <xf numFmtId="0" fontId="96" fillId="106" borderId="0" xfId="1" applyFont="1" applyFill="1" applyAlignment="1">
      <alignment horizontal="right" vertical="center" wrapText="1"/>
    </xf>
    <xf numFmtId="0" fontId="95" fillId="106" borderId="0" xfId="1" applyFont="1" applyFill="1" applyAlignment="1">
      <alignment vertical="center" wrapText="1"/>
    </xf>
    <xf numFmtId="0" fontId="96" fillId="112" borderId="0" xfId="1" applyFont="1" applyFill="1" applyAlignment="1">
      <alignment horizontal="right" vertical="center" wrapText="1"/>
    </xf>
    <xf numFmtId="0" fontId="95" fillId="112" borderId="0" xfId="1" applyFont="1" applyFill="1" applyAlignment="1">
      <alignment vertical="center"/>
    </xf>
    <xf numFmtId="0" fontId="100" fillId="102" borderId="0" xfId="1" applyFont="1" applyFill="1" applyAlignment="1">
      <alignment horizontal="center" vertical="center"/>
    </xf>
    <xf numFmtId="0" fontId="95" fillId="112" borderId="0" xfId="1" applyFont="1" applyFill="1" applyAlignment="1">
      <alignment vertical="center" wrapText="1"/>
    </xf>
    <xf numFmtId="0" fontId="95" fillId="103" borderId="0" xfId="1" applyFont="1" applyFill="1" applyAlignment="1">
      <alignment horizontal="center" vertical="center"/>
    </xf>
    <xf numFmtId="0" fontId="95" fillId="104" borderId="0" xfId="1" applyFont="1" applyFill="1" applyAlignment="1">
      <alignment horizontal="center" vertical="center"/>
    </xf>
    <xf numFmtId="0" fontId="95" fillId="107" borderId="0" xfId="1" applyFont="1" applyFill="1" applyAlignment="1">
      <alignment horizontal="center" vertical="center"/>
    </xf>
    <xf numFmtId="0" fontId="95" fillId="109" borderId="0" xfId="1" applyFont="1" applyFill="1" applyAlignment="1">
      <alignment horizontal="center" vertical="center"/>
    </xf>
    <xf numFmtId="0" fontId="95" fillId="110" borderId="0" xfId="1" applyFont="1" applyFill="1" applyAlignment="1">
      <alignment horizontal="center" vertical="center"/>
    </xf>
    <xf numFmtId="0" fontId="95" fillId="111" borderId="0" xfId="1" applyFont="1" applyFill="1" applyAlignment="1">
      <alignment horizontal="center" vertical="center"/>
    </xf>
    <xf numFmtId="0" fontId="95" fillId="106" borderId="0" xfId="1" applyFont="1" applyFill="1" applyAlignment="1">
      <alignment horizontal="center" vertical="center"/>
    </xf>
    <xf numFmtId="1" fontId="101" fillId="21" borderId="0" xfId="2" applyNumberFormat="1" applyFont="1" applyFill="1" applyAlignment="1">
      <alignment horizontal="center" vertical="center" wrapText="1"/>
    </xf>
    <xf numFmtId="1" fontId="31" fillId="67" borderId="0" xfId="2" applyNumberFormat="1" applyFont="1" applyFill="1" applyAlignment="1">
      <alignment horizontal="center" vertical="center"/>
    </xf>
    <xf numFmtId="1" fontId="73" fillId="69" borderId="0" xfId="2" applyNumberFormat="1" applyFont="1" applyFill="1" applyAlignment="1" applyProtection="1">
      <alignment horizontal="center" vertical="center" wrapText="1"/>
      <protection hidden="1"/>
    </xf>
    <xf numFmtId="0" fontId="72" fillId="0" borderId="0" xfId="0" applyFont="1" applyAlignment="1">
      <alignment horizontal="center"/>
    </xf>
    <xf numFmtId="1" fontId="71" fillId="16" borderId="0" xfId="2" applyNumberFormat="1" applyFont="1" applyFill="1" applyAlignment="1" applyProtection="1">
      <alignment horizontal="center" vertical="center" wrapText="1"/>
      <protection hidden="1"/>
    </xf>
    <xf numFmtId="1" fontId="73" fillId="70" borderId="0" xfId="2" applyNumberFormat="1" applyFont="1" applyFill="1" applyAlignment="1" applyProtection="1">
      <alignment horizontal="center" vertical="center" wrapText="1"/>
      <protection hidden="1"/>
    </xf>
    <xf numFmtId="1" fontId="71" fillId="71" borderId="0" xfId="2" applyNumberFormat="1" applyFont="1" applyFill="1" applyAlignment="1" applyProtection="1">
      <alignment horizontal="center" vertical="center" wrapText="1"/>
      <protection hidden="1"/>
    </xf>
    <xf numFmtId="1" fontId="71" fillId="72" borderId="0" xfId="2" applyNumberFormat="1" applyFont="1" applyFill="1" applyAlignment="1" applyProtection="1">
      <alignment horizontal="center" vertical="center" wrapText="1"/>
      <protection hidden="1"/>
    </xf>
    <xf numFmtId="1" fontId="71" fillId="73" borderId="0" xfId="2" applyNumberFormat="1" applyFont="1" applyFill="1" applyAlignment="1" applyProtection="1">
      <alignment horizontal="center" vertical="center" wrapText="1"/>
      <protection hidden="1"/>
    </xf>
    <xf numFmtId="1" fontId="71" fillId="74" borderId="0" xfId="2" applyNumberFormat="1" applyFont="1" applyFill="1" applyAlignment="1" applyProtection="1">
      <alignment horizontal="center" vertical="center" wrapText="1"/>
      <protection hidden="1"/>
    </xf>
    <xf numFmtId="1" fontId="73" fillId="75" borderId="0" xfId="2" applyNumberFormat="1" applyFont="1" applyFill="1" applyAlignment="1" applyProtection="1">
      <alignment horizontal="center" vertical="center" wrapText="1"/>
      <protection hidden="1"/>
    </xf>
    <xf numFmtId="1" fontId="71" fillId="76" borderId="0" xfId="2" applyNumberFormat="1" applyFont="1" applyFill="1" applyAlignment="1" applyProtection="1">
      <alignment horizontal="center" vertical="center" wrapText="1"/>
      <protection hidden="1"/>
    </xf>
    <xf numFmtId="1" fontId="73" fillId="77" borderId="0" xfId="2" applyNumberFormat="1" applyFont="1" applyFill="1" applyAlignment="1" applyProtection="1">
      <alignment horizontal="center" vertical="center" wrapText="1"/>
      <protection hidden="1"/>
    </xf>
    <xf numFmtId="1" fontId="71" fillId="78" borderId="0" xfId="2" applyNumberFormat="1" applyFont="1" applyFill="1" applyAlignment="1" applyProtection="1">
      <alignment horizontal="center" vertical="center" wrapText="1"/>
      <protection hidden="1"/>
    </xf>
    <xf numFmtId="1" fontId="73" fillId="64" borderId="0" xfId="2" applyNumberFormat="1" applyFont="1" applyFill="1" applyAlignment="1" applyProtection="1">
      <alignment horizontal="center" vertical="center" wrapText="1"/>
      <protection hidden="1"/>
    </xf>
    <xf numFmtId="1" fontId="73" fillId="79" borderId="0" xfId="2" applyNumberFormat="1" applyFont="1" applyFill="1" applyAlignment="1" applyProtection="1">
      <alignment horizontal="center" vertical="center" wrapText="1"/>
      <protection hidden="1"/>
    </xf>
    <xf numFmtId="1" fontId="73" fillId="62" borderId="0" xfId="2" applyNumberFormat="1" applyFont="1" applyFill="1" applyAlignment="1" applyProtection="1">
      <alignment horizontal="center" vertical="center" wrapText="1"/>
      <protection hidden="1"/>
    </xf>
    <xf numFmtId="1" fontId="73" fillId="63" borderId="0" xfId="2" applyNumberFormat="1" applyFont="1" applyFill="1" applyAlignment="1" applyProtection="1">
      <alignment horizontal="center" vertical="center" wrapText="1"/>
      <protection hidden="1"/>
    </xf>
    <xf numFmtId="1" fontId="71" fillId="80" borderId="0" xfId="2" applyNumberFormat="1" applyFont="1" applyFill="1" applyAlignment="1" applyProtection="1">
      <alignment horizontal="center" vertical="center" wrapText="1"/>
      <protection hidden="1"/>
    </xf>
    <xf numFmtId="1" fontId="71" fillId="66" borderId="0" xfId="2" applyNumberFormat="1" applyFont="1" applyFill="1" applyAlignment="1" applyProtection="1">
      <alignment horizontal="center" vertical="center" wrapText="1"/>
      <protection hidden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" fontId="71" fillId="16" borderId="0" xfId="2" applyNumberFormat="1" applyFont="1" applyFill="1" applyAlignment="1" applyProtection="1">
      <alignment vertical="center"/>
      <protection hidden="1"/>
    </xf>
    <xf numFmtId="0" fontId="80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7" fillId="8" borderId="0" xfId="2" applyFont="1" applyFill="1" applyAlignment="1">
      <alignment horizontal="center" vertical="center"/>
    </xf>
    <xf numFmtId="0" fontId="67" fillId="8" borderId="22" xfId="15" applyFont="1" applyFill="1" applyBorder="1" applyAlignment="1">
      <alignment horizontal="center" vertical="center"/>
    </xf>
    <xf numFmtId="0" fontId="1" fillId="8" borderId="23" xfId="0" applyFont="1" applyFill="1" applyBorder="1" applyAlignment="1">
      <alignment vertical="center"/>
    </xf>
    <xf numFmtId="0" fontId="67" fillId="16" borderId="0" xfId="0" applyFont="1" applyFill="1" applyAlignment="1">
      <alignment horizontal="center" vertical="center"/>
    </xf>
    <xf numFmtId="0" fontId="96" fillId="97" borderId="0" xfId="1" applyFont="1" applyFill="1" applyAlignment="1">
      <alignment vertical="center"/>
    </xf>
    <xf numFmtId="0" fontId="95" fillId="97" borderId="0" xfId="1" applyFont="1" applyFill="1" applyAlignment="1">
      <alignment vertical="center" wrapText="1"/>
    </xf>
    <xf numFmtId="0" fontId="96" fillId="98" borderId="0" xfId="1" applyFont="1" applyFill="1" applyAlignment="1">
      <alignment horizontal="center" vertical="center" wrapText="1"/>
    </xf>
    <xf numFmtId="0" fontId="96" fillId="0" borderId="0" xfId="1" applyFont="1" applyAlignment="1">
      <alignment horizontal="right" vertical="center" wrapText="1"/>
    </xf>
    <xf numFmtId="0" fontId="95" fillId="0" borderId="0" xfId="1" applyFont="1" applyAlignment="1">
      <alignment horizontal="center" vertical="center" wrapText="1"/>
    </xf>
    <xf numFmtId="0" fontId="18" fillId="114" borderId="0" xfId="1" applyFont="1" applyFill="1" applyAlignment="1">
      <alignment horizontal="center" vertical="center" wrapText="1"/>
    </xf>
    <xf numFmtId="0" fontId="95" fillId="0" borderId="0" xfId="1" applyFont="1" applyAlignment="1">
      <alignment vertical="center" wrapText="1"/>
    </xf>
    <xf numFmtId="0" fontId="102" fillId="115" borderId="0" xfId="1" applyFont="1" applyFill="1" applyAlignment="1">
      <alignment horizontal="center" vertical="center" wrapText="1"/>
    </xf>
    <xf numFmtId="0" fontId="102" fillId="116" borderId="0" xfId="1" applyFont="1" applyFill="1" applyAlignment="1">
      <alignment horizontal="center" vertical="center" wrapText="1"/>
    </xf>
    <xf numFmtId="0" fontId="102" fillId="117" borderId="0" xfId="1" applyFont="1" applyFill="1" applyAlignment="1">
      <alignment horizontal="center" vertical="center" wrapText="1"/>
    </xf>
    <xf numFmtId="0" fontId="102" fillId="118" borderId="0" xfId="1" applyFont="1" applyFill="1" applyAlignment="1">
      <alignment horizontal="center" vertical="center" wrapText="1"/>
    </xf>
    <xf numFmtId="0" fontId="96" fillId="119" borderId="0" xfId="1" applyFont="1" applyFill="1" applyAlignment="1">
      <alignment horizontal="center" vertical="center" wrapText="1"/>
    </xf>
    <xf numFmtId="0" fontId="96" fillId="120" borderId="0" xfId="1" applyFont="1" applyFill="1" applyAlignment="1">
      <alignment horizontal="center" vertical="center" wrapText="1"/>
    </xf>
    <xf numFmtId="0" fontId="96" fillId="121" borderId="0" xfId="1" applyFont="1" applyFill="1" applyAlignment="1">
      <alignment horizontal="center" vertical="center" wrapText="1"/>
    </xf>
    <xf numFmtId="0" fontId="96" fillId="122" borderId="0" xfId="1" applyFont="1" applyFill="1" applyAlignment="1">
      <alignment horizontal="center" vertical="center" wrapText="1"/>
    </xf>
    <xf numFmtId="0" fontId="96" fillId="123" borderId="0" xfId="1" applyFont="1" applyFill="1" applyAlignment="1">
      <alignment horizontal="center" vertical="center" wrapText="1"/>
    </xf>
    <xf numFmtId="0" fontId="96" fillId="124" borderId="0" xfId="1" applyFont="1" applyFill="1" applyAlignment="1">
      <alignment horizontal="center" vertical="center" wrapText="1"/>
    </xf>
    <xf numFmtId="0" fontId="96" fillId="125" borderId="0" xfId="1" applyFont="1" applyFill="1" applyAlignment="1">
      <alignment horizontal="center" vertical="center" wrapText="1"/>
    </xf>
    <xf numFmtId="0" fontId="96" fillId="126" borderId="0" xfId="1" applyFont="1" applyFill="1" applyAlignment="1">
      <alignment horizontal="center" vertical="center" wrapText="1"/>
    </xf>
    <xf numFmtId="0" fontId="102" fillId="127" borderId="0" xfId="1" applyFont="1" applyFill="1" applyAlignment="1">
      <alignment horizontal="center" vertical="center" wrapText="1"/>
    </xf>
    <xf numFmtId="0" fontId="96" fillId="128" borderId="0" xfId="1" applyFont="1" applyFill="1" applyAlignment="1">
      <alignment horizontal="center" vertical="center" wrapText="1"/>
    </xf>
    <xf numFmtId="0" fontId="96" fillId="129" borderId="0" xfId="1" applyFont="1" applyFill="1" applyAlignment="1">
      <alignment horizontal="center" vertical="center" wrapText="1"/>
    </xf>
    <xf numFmtId="0" fontId="102" fillId="130" borderId="0" xfId="1" applyFont="1" applyFill="1" applyAlignment="1">
      <alignment horizontal="center" vertical="center" wrapText="1"/>
    </xf>
    <xf numFmtId="0" fontId="96" fillId="131" borderId="0" xfId="1" applyFont="1" applyFill="1" applyAlignment="1">
      <alignment horizontal="center" vertical="center" wrapText="1"/>
    </xf>
    <xf numFmtId="0" fontId="96" fillId="132" borderId="0" xfId="1" applyFont="1" applyFill="1" applyAlignment="1">
      <alignment horizontal="center" vertical="center" wrapText="1"/>
    </xf>
    <xf numFmtId="0" fontId="102" fillId="133" borderId="0" xfId="1" applyFont="1" applyFill="1" applyAlignment="1">
      <alignment horizontal="center" vertical="center" wrapText="1"/>
    </xf>
    <xf numFmtId="0" fontId="102" fillId="134" borderId="0" xfId="1" applyFont="1" applyFill="1" applyAlignment="1">
      <alignment horizontal="center" vertical="center" wrapText="1"/>
    </xf>
    <xf numFmtId="0" fontId="102" fillId="135" borderId="0" xfId="1" applyFont="1" applyFill="1" applyAlignment="1">
      <alignment horizontal="center" vertical="center" wrapText="1"/>
    </xf>
    <xf numFmtId="0" fontId="96" fillId="136" borderId="0" xfId="1" applyFont="1" applyFill="1" applyAlignment="1">
      <alignment horizontal="center" vertical="center" wrapText="1"/>
    </xf>
    <xf numFmtId="0" fontId="102" fillId="137" borderId="0" xfId="1" applyFont="1" applyFill="1" applyAlignment="1">
      <alignment horizontal="center" vertical="center" wrapText="1"/>
    </xf>
    <xf numFmtId="0" fontId="18" fillId="138" borderId="0" xfId="1" applyFont="1" applyFill="1" applyAlignment="1">
      <alignment horizontal="center" vertical="center" wrapText="1"/>
    </xf>
    <xf numFmtId="0" fontId="96" fillId="139" borderId="0" xfId="1" applyFont="1" applyFill="1" applyAlignment="1">
      <alignment horizontal="center" vertical="center" wrapText="1"/>
    </xf>
    <xf numFmtId="0" fontId="102" fillId="140" borderId="0" xfId="1" applyFont="1" applyFill="1" applyAlignment="1">
      <alignment horizontal="center" vertical="center" wrapText="1"/>
    </xf>
    <xf numFmtId="0" fontId="96" fillId="141" borderId="0" xfId="1" applyFont="1" applyFill="1" applyAlignment="1">
      <alignment horizontal="center" vertical="center" wrapText="1"/>
    </xf>
    <xf numFmtId="0" fontId="18" fillId="142" borderId="0" xfId="1" applyFont="1" applyFill="1" applyAlignment="1">
      <alignment horizontal="center" vertical="center" wrapText="1"/>
    </xf>
    <xf numFmtId="0" fontId="96" fillId="143" borderId="0" xfId="1" applyFont="1" applyFill="1" applyAlignment="1">
      <alignment horizontal="center" vertical="center" wrapText="1"/>
    </xf>
    <xf numFmtId="0" fontId="102" fillId="144" borderId="0" xfId="1" applyFont="1" applyFill="1" applyAlignment="1">
      <alignment horizontal="center" vertical="center" wrapText="1"/>
    </xf>
    <xf numFmtId="0" fontId="102" fillId="145" borderId="0" xfId="1" applyFont="1" applyFill="1" applyAlignment="1">
      <alignment horizontal="center" vertical="center" wrapText="1"/>
    </xf>
    <xf numFmtId="0" fontId="96" fillId="146" borderId="0" xfId="1" applyFont="1" applyFill="1" applyAlignment="1">
      <alignment horizontal="center" vertical="center" wrapText="1"/>
    </xf>
    <xf numFmtId="0" fontId="96" fillId="116" borderId="0" xfId="1" applyFont="1" applyFill="1" applyAlignment="1">
      <alignment horizontal="center" vertical="center" wrapText="1"/>
    </xf>
    <xf numFmtId="0" fontId="96" fillId="147" borderId="0" xfId="1" applyFont="1" applyFill="1" applyAlignment="1">
      <alignment horizontal="center" vertical="center" wrapText="1"/>
    </xf>
    <xf numFmtId="0" fontId="96" fillId="148" borderId="0" xfId="1" applyFont="1" applyFill="1" applyAlignment="1">
      <alignment horizontal="center" vertical="center" wrapText="1"/>
    </xf>
    <xf numFmtId="0" fontId="96" fillId="149" borderId="0" xfId="1" applyFont="1" applyFill="1" applyAlignment="1">
      <alignment horizontal="center" vertical="center" wrapText="1"/>
    </xf>
    <xf numFmtId="0" fontId="102" fillId="150" borderId="0" xfId="1" applyFont="1" applyFill="1" applyAlignment="1">
      <alignment horizontal="center" vertical="center" wrapText="1"/>
    </xf>
    <xf numFmtId="0" fontId="96" fillId="151" borderId="0" xfId="1" applyFont="1" applyFill="1" applyAlignment="1">
      <alignment horizontal="center" vertical="center" wrapText="1"/>
    </xf>
    <xf numFmtId="0" fontId="96" fillId="152" borderId="0" xfId="1" applyFont="1" applyFill="1" applyAlignment="1">
      <alignment horizontal="center" vertical="center" wrapText="1"/>
    </xf>
    <xf numFmtId="0" fontId="18" fillId="87" borderId="0" xfId="1" applyFont="1" applyFill="1" applyAlignment="1">
      <alignment horizontal="center" vertical="center" wrapText="1"/>
    </xf>
    <xf numFmtId="0" fontId="18" fillId="117" borderId="0" xfId="1" applyFont="1" applyFill="1" applyAlignment="1">
      <alignment horizontal="center" vertical="center" wrapText="1"/>
    </xf>
    <xf numFmtId="0" fontId="96" fillId="153" borderId="0" xfId="1" applyFont="1" applyFill="1" applyAlignment="1">
      <alignment horizontal="center" vertical="center" wrapText="1"/>
    </xf>
    <xf numFmtId="0" fontId="96" fillId="154" borderId="0" xfId="1" applyFont="1" applyFill="1" applyAlignment="1">
      <alignment horizontal="center" vertical="center" wrapText="1"/>
    </xf>
    <xf numFmtId="0" fontId="18" fillId="155" borderId="0" xfId="1" applyFont="1" applyFill="1" applyAlignment="1">
      <alignment horizontal="center" vertical="center" wrapText="1"/>
    </xf>
    <xf numFmtId="0" fontId="18" fillId="156" borderId="0" xfId="1" applyFont="1" applyFill="1" applyAlignment="1">
      <alignment horizontal="center" vertical="center" wrapText="1"/>
    </xf>
    <xf numFmtId="0" fontId="18" fillId="157" borderId="0" xfId="1" applyFont="1" applyFill="1" applyAlignment="1">
      <alignment horizontal="center" vertical="center" wrapText="1"/>
    </xf>
    <xf numFmtId="0" fontId="102" fillId="158" borderId="0" xfId="1" applyFont="1" applyFill="1" applyAlignment="1">
      <alignment horizontal="center" vertical="center" wrapText="1"/>
    </xf>
    <xf numFmtId="0" fontId="96" fillId="159" borderId="0" xfId="1" applyFont="1" applyFill="1" applyAlignment="1">
      <alignment horizontal="center" vertical="center" wrapText="1"/>
    </xf>
    <xf numFmtId="0" fontId="96" fillId="160" borderId="0" xfId="1" applyFont="1" applyFill="1" applyAlignment="1">
      <alignment horizontal="center" vertical="center" wrapText="1"/>
    </xf>
    <xf numFmtId="0" fontId="96" fillId="93" borderId="0" xfId="1" applyFont="1" applyFill="1" applyAlignment="1">
      <alignment horizontal="center" vertical="center" wrapText="1"/>
    </xf>
    <xf numFmtId="0" fontId="102" fillId="161" borderId="0" xfId="1" applyFont="1" applyFill="1" applyAlignment="1">
      <alignment horizontal="center" vertical="center" wrapText="1"/>
    </xf>
    <xf numFmtId="0" fontId="96" fillId="162" borderId="0" xfId="1" applyFont="1" applyFill="1" applyAlignment="1">
      <alignment horizontal="center" vertical="center" wrapText="1"/>
    </xf>
    <xf numFmtId="0" fontId="96" fillId="163" borderId="0" xfId="1" applyFont="1" applyFill="1" applyAlignment="1">
      <alignment horizontal="center" vertical="center" wrapText="1"/>
    </xf>
    <xf numFmtId="0" fontId="96" fillId="113" borderId="0" xfId="1" applyFont="1" applyFill="1" applyAlignment="1">
      <alignment vertical="center"/>
    </xf>
    <xf numFmtId="0" fontId="5" fillId="113" borderId="0" xfId="1" applyFill="1" applyAlignment="1">
      <alignment vertical="center" wrapText="1"/>
    </xf>
    <xf numFmtId="0" fontId="1" fillId="8" borderId="0" xfId="0" applyFont="1" applyFill="1" applyAlignment="1">
      <alignment vertical="center"/>
    </xf>
    <xf numFmtId="0" fontId="103" fillId="59" borderId="0" xfId="1" applyFont="1" applyFill="1" applyAlignment="1">
      <alignment horizontal="center" vertical="center"/>
    </xf>
    <xf numFmtId="0" fontId="104" fillId="16" borderId="0" xfId="1" applyFont="1" applyFill="1" applyAlignment="1">
      <alignment horizontal="center" vertical="center"/>
    </xf>
    <xf numFmtId="0" fontId="2" fillId="57" borderId="7" xfId="2" applyFont="1" applyFill="1" applyBorder="1" applyAlignment="1">
      <alignment horizontal="center" vertical="center"/>
    </xf>
    <xf numFmtId="0" fontId="64" fillId="16" borderId="0" xfId="2" quotePrefix="1" applyFont="1" applyFill="1" applyAlignment="1">
      <alignment horizontal="center" vertical="center"/>
    </xf>
    <xf numFmtId="0" fontId="72" fillId="0" borderId="0" xfId="20"/>
    <xf numFmtId="0" fontId="64" fillId="71" borderId="0" xfId="2" quotePrefix="1" applyFont="1" applyFill="1" applyAlignment="1">
      <alignment horizontal="center" vertical="center"/>
    </xf>
    <xf numFmtId="0" fontId="105" fillId="8" borderId="0" xfId="0" applyFont="1" applyFill="1" applyAlignment="1">
      <alignment horizontal="left" vertical="center"/>
    </xf>
    <xf numFmtId="0" fontId="26" fillId="8" borderId="0" xfId="13" applyFont="1" applyFill="1" applyAlignment="1">
      <alignment horizontal="right" vertical="center"/>
    </xf>
    <xf numFmtId="0" fontId="108" fillId="165" borderId="42" xfId="0" applyFont="1" applyFill="1" applyBorder="1" applyAlignment="1">
      <alignment horizontal="center" vertical="center"/>
    </xf>
    <xf numFmtId="0" fontId="108" fillId="166" borderId="42" xfId="0" applyFont="1" applyFill="1" applyBorder="1" applyAlignment="1">
      <alignment horizontal="center" vertical="center"/>
    </xf>
    <xf numFmtId="0" fontId="108" fillId="167" borderId="42" xfId="0" applyFont="1" applyFill="1" applyBorder="1" applyAlignment="1">
      <alignment horizontal="center" vertical="center"/>
    </xf>
    <xf numFmtId="0" fontId="108" fillId="168" borderId="42" xfId="0" applyFont="1" applyFill="1" applyBorder="1" applyAlignment="1">
      <alignment horizontal="center" vertical="center"/>
    </xf>
    <xf numFmtId="0" fontId="108" fillId="169" borderId="42" xfId="0" applyFont="1" applyFill="1" applyBorder="1" applyAlignment="1">
      <alignment horizontal="center" vertical="center"/>
    </xf>
    <xf numFmtId="0" fontId="108" fillId="170" borderId="42" xfId="0" applyFont="1" applyFill="1" applyBorder="1" applyAlignment="1">
      <alignment horizontal="center" vertical="center"/>
    </xf>
    <xf numFmtId="0" fontId="108" fillId="171" borderId="42" xfId="0" applyFont="1" applyFill="1" applyBorder="1" applyAlignment="1">
      <alignment horizontal="center" vertical="center"/>
    </xf>
    <xf numFmtId="0" fontId="108" fillId="172" borderId="42" xfId="0" applyFont="1" applyFill="1" applyBorder="1" applyAlignment="1">
      <alignment horizontal="center" vertical="center"/>
    </xf>
    <xf numFmtId="0" fontId="108" fillId="173" borderId="42" xfId="0" applyFont="1" applyFill="1" applyBorder="1" applyAlignment="1">
      <alignment horizontal="center" vertical="center"/>
    </xf>
    <xf numFmtId="0" fontId="108" fillId="174" borderId="42" xfId="0" applyFont="1" applyFill="1" applyBorder="1" applyAlignment="1">
      <alignment horizontal="center" vertical="center"/>
    </xf>
    <xf numFmtId="0" fontId="108" fillId="165" borderId="42" xfId="0" applyFont="1" applyFill="1" applyBorder="1" applyAlignment="1">
      <alignment horizontal="center" vertical="center" wrapText="1"/>
    </xf>
    <xf numFmtId="0" fontId="108" fillId="93" borderId="42" xfId="0" applyFont="1" applyFill="1" applyBorder="1" applyAlignment="1">
      <alignment horizontal="right" vertical="center"/>
    </xf>
    <xf numFmtId="0" fontId="18" fillId="175" borderId="42" xfId="0" applyFont="1" applyFill="1" applyBorder="1" applyAlignment="1">
      <alignment horizontal="center" vertical="center"/>
    </xf>
    <xf numFmtId="0" fontId="18" fillId="176" borderId="42" xfId="0" applyFont="1" applyFill="1" applyBorder="1" applyAlignment="1">
      <alignment horizontal="center" vertical="center"/>
    </xf>
    <xf numFmtId="0" fontId="18" fillId="177" borderId="42" xfId="0" applyFont="1" applyFill="1" applyBorder="1" applyAlignment="1">
      <alignment horizontal="center" vertical="center"/>
    </xf>
    <xf numFmtId="0" fontId="18" fillId="178" borderId="42" xfId="0" applyFont="1" applyFill="1" applyBorder="1" applyAlignment="1">
      <alignment horizontal="center" vertical="center"/>
    </xf>
    <xf numFmtId="0" fontId="18" fillId="179" borderId="42" xfId="0" applyFont="1" applyFill="1" applyBorder="1" applyAlignment="1">
      <alignment horizontal="center" vertical="center"/>
    </xf>
    <xf numFmtId="0" fontId="18" fillId="180" borderId="42" xfId="0" applyFont="1" applyFill="1" applyBorder="1" applyAlignment="1">
      <alignment horizontal="center" vertical="center"/>
    </xf>
    <xf numFmtId="0" fontId="18" fillId="181" borderId="42" xfId="0" applyFont="1" applyFill="1" applyBorder="1" applyAlignment="1">
      <alignment horizontal="center" vertical="center"/>
    </xf>
    <xf numFmtId="0" fontId="18" fillId="182" borderId="42" xfId="0" applyFont="1" applyFill="1" applyBorder="1" applyAlignment="1">
      <alignment horizontal="center" vertical="center"/>
    </xf>
    <xf numFmtId="0" fontId="18" fillId="183" borderId="42" xfId="0" applyFont="1" applyFill="1" applyBorder="1" applyAlignment="1">
      <alignment horizontal="center" vertical="center"/>
    </xf>
    <xf numFmtId="0" fontId="18" fillId="184" borderId="42" xfId="0" applyFont="1" applyFill="1" applyBorder="1" applyAlignment="1">
      <alignment horizontal="center" vertical="center"/>
    </xf>
    <xf numFmtId="0" fontId="109" fillId="93" borderId="42" xfId="0" applyFont="1" applyFill="1" applyBorder="1" applyAlignment="1">
      <alignment horizontal="left" vertical="center" wrapText="1"/>
    </xf>
    <xf numFmtId="0" fontId="109" fillId="0" borderId="42" xfId="24" applyFont="1" applyBorder="1" applyAlignment="1">
      <alignment horizontal="center" vertical="center" wrapText="1"/>
    </xf>
    <xf numFmtId="0" fontId="109" fillId="0" borderId="42" xfId="0" applyFont="1" applyBorder="1" applyAlignment="1">
      <alignment horizontal="left" vertical="center" wrapText="1"/>
    </xf>
    <xf numFmtId="0" fontId="111" fillId="93" borderId="42" xfId="0" applyFont="1" applyFill="1" applyBorder="1" applyAlignment="1">
      <alignment horizontal="center" vertical="center"/>
    </xf>
    <xf numFmtId="0" fontId="109" fillId="185" borderId="42" xfId="0" applyFont="1" applyFill="1" applyBorder="1" applyAlignment="1">
      <alignment horizontal="left" vertical="center" wrapText="1"/>
    </xf>
    <xf numFmtId="0" fontId="18" fillId="186" borderId="42" xfId="0" applyFont="1" applyFill="1" applyBorder="1" applyAlignment="1">
      <alignment horizontal="center" vertical="center"/>
    </xf>
    <xf numFmtId="0" fontId="18" fillId="187" borderId="42" xfId="0" applyFont="1" applyFill="1" applyBorder="1" applyAlignment="1">
      <alignment horizontal="center" vertical="center"/>
    </xf>
    <xf numFmtId="0" fontId="18" fillId="188" borderId="42" xfId="0" applyFont="1" applyFill="1" applyBorder="1" applyAlignment="1">
      <alignment horizontal="center" vertical="center"/>
    </xf>
    <xf numFmtId="0" fontId="18" fillId="189" borderId="42" xfId="0" applyFont="1" applyFill="1" applyBorder="1" applyAlignment="1">
      <alignment horizontal="center" vertical="center"/>
    </xf>
    <xf numFmtId="0" fontId="18" fillId="190" borderId="42" xfId="0" applyFont="1" applyFill="1" applyBorder="1" applyAlignment="1">
      <alignment horizontal="center" vertical="center"/>
    </xf>
    <xf numFmtId="0" fontId="18" fillId="191" borderId="42" xfId="0" applyFont="1" applyFill="1" applyBorder="1" applyAlignment="1">
      <alignment horizontal="center" vertical="center"/>
    </xf>
    <xf numFmtId="0" fontId="18" fillId="192" borderId="42" xfId="0" applyFont="1" applyFill="1" applyBorder="1" applyAlignment="1">
      <alignment horizontal="center" vertical="center"/>
    </xf>
    <xf numFmtId="0" fontId="18" fillId="193" borderId="42" xfId="0" applyFont="1" applyFill="1" applyBorder="1" applyAlignment="1">
      <alignment horizontal="center" vertical="center"/>
    </xf>
    <xf numFmtId="0" fontId="18" fillId="194" borderId="42" xfId="0" applyFont="1" applyFill="1" applyBorder="1" applyAlignment="1">
      <alignment horizontal="center" vertical="center"/>
    </xf>
    <xf numFmtId="0" fontId="18" fillId="195" borderId="42" xfId="0" applyFont="1" applyFill="1" applyBorder="1" applyAlignment="1">
      <alignment horizontal="center" vertical="center"/>
    </xf>
    <xf numFmtId="0" fontId="109" fillId="93" borderId="42" xfId="0" applyFont="1" applyFill="1" applyBorder="1" applyAlignment="1">
      <alignment horizontal="center" vertical="center"/>
    </xf>
    <xf numFmtId="0" fontId="109" fillId="196" borderId="42" xfId="0" applyFont="1" applyFill="1" applyBorder="1" applyAlignment="1">
      <alignment horizontal="center" vertical="center"/>
    </xf>
    <xf numFmtId="0" fontId="109" fillId="197" borderId="42" xfId="0" applyFont="1" applyFill="1" applyBorder="1" applyAlignment="1">
      <alignment horizontal="center" vertical="center"/>
    </xf>
    <xf numFmtId="0" fontId="109" fillId="198" borderId="42" xfId="0" applyFont="1" applyFill="1" applyBorder="1" applyAlignment="1">
      <alignment horizontal="center" vertical="center"/>
    </xf>
    <xf numFmtId="0" fontId="109" fillId="199" borderId="42" xfId="0" applyFont="1" applyFill="1" applyBorder="1" applyAlignment="1">
      <alignment horizontal="center" vertical="center"/>
    </xf>
    <xf numFmtId="0" fontId="109" fillId="200" borderId="42" xfId="0" applyFont="1" applyFill="1" applyBorder="1" applyAlignment="1">
      <alignment horizontal="center" vertical="center"/>
    </xf>
    <xf numFmtId="0" fontId="109" fillId="201" borderId="42" xfId="0" applyFont="1" applyFill="1" applyBorder="1" applyAlignment="1">
      <alignment horizontal="center" vertical="center"/>
    </xf>
    <xf numFmtId="0" fontId="109" fillId="202" borderId="42" xfId="0" applyFont="1" applyFill="1" applyBorder="1" applyAlignment="1">
      <alignment horizontal="center" vertical="center"/>
    </xf>
    <xf numFmtId="0" fontId="109" fillId="203" borderId="42" xfId="0" applyFont="1" applyFill="1" applyBorder="1" applyAlignment="1">
      <alignment horizontal="center" vertical="center"/>
    </xf>
    <xf numFmtId="0" fontId="109" fillId="204" borderId="42" xfId="0" applyFont="1" applyFill="1" applyBorder="1" applyAlignment="1">
      <alignment horizontal="center" vertical="center"/>
    </xf>
    <xf numFmtId="0" fontId="109" fillId="205" borderId="42" xfId="0" applyFont="1" applyFill="1" applyBorder="1" applyAlignment="1">
      <alignment horizontal="center" vertical="center"/>
    </xf>
    <xf numFmtId="0" fontId="112" fillId="206" borderId="42" xfId="0" applyFont="1" applyFill="1" applyBorder="1" applyAlignment="1">
      <alignment horizontal="center" vertical="center"/>
    </xf>
    <xf numFmtId="0" fontId="112" fillId="207" borderId="42" xfId="0" applyFont="1" applyFill="1" applyBorder="1" applyAlignment="1">
      <alignment horizontal="center" vertical="center"/>
    </xf>
    <xf numFmtId="0" fontId="112" fillId="208" borderId="42" xfId="0" applyFont="1" applyFill="1" applyBorder="1" applyAlignment="1">
      <alignment horizontal="center" vertical="center"/>
    </xf>
    <xf numFmtId="0" fontId="112" fillId="209" borderId="42" xfId="0" applyFont="1" applyFill="1" applyBorder="1" applyAlignment="1">
      <alignment horizontal="center" vertical="center"/>
    </xf>
    <xf numFmtId="0" fontId="112" fillId="210" borderId="42" xfId="0" applyFont="1" applyFill="1" applyBorder="1" applyAlignment="1">
      <alignment horizontal="center" vertical="center"/>
    </xf>
    <xf numFmtId="0" fontId="112" fillId="211" borderId="42" xfId="0" applyFont="1" applyFill="1" applyBorder="1" applyAlignment="1">
      <alignment horizontal="center" vertical="center"/>
    </xf>
    <xf numFmtId="0" fontId="112" fillId="212" borderId="42" xfId="0" applyFont="1" applyFill="1" applyBorder="1" applyAlignment="1">
      <alignment horizontal="center" vertical="center"/>
    </xf>
    <xf numFmtId="0" fontId="112" fillId="213" borderId="42" xfId="0" applyFont="1" applyFill="1" applyBorder="1" applyAlignment="1">
      <alignment horizontal="center" vertical="center"/>
    </xf>
    <xf numFmtId="0" fontId="112" fillId="214" borderId="42" xfId="0" applyFont="1" applyFill="1" applyBorder="1" applyAlignment="1">
      <alignment horizontal="center" vertical="center"/>
    </xf>
    <xf numFmtId="0" fontId="113" fillId="215" borderId="42" xfId="0" applyFont="1" applyFill="1" applyBorder="1" applyAlignment="1">
      <alignment horizontal="center" vertical="center"/>
    </xf>
    <xf numFmtId="0" fontId="113" fillId="216" borderId="42" xfId="0" applyFont="1" applyFill="1" applyBorder="1" applyAlignment="1">
      <alignment horizontal="center" vertical="center"/>
    </xf>
    <xf numFmtId="0" fontId="113" fillId="217" borderId="42" xfId="0" applyFont="1" applyFill="1" applyBorder="1" applyAlignment="1">
      <alignment horizontal="center" vertical="center"/>
    </xf>
    <xf numFmtId="0" fontId="113" fillId="218" borderId="42" xfId="0" applyFont="1" applyFill="1" applyBorder="1" applyAlignment="1">
      <alignment horizontal="center" vertical="center"/>
    </xf>
    <xf numFmtId="0" fontId="113" fillId="219" borderId="42" xfId="0" applyFont="1" applyFill="1" applyBorder="1" applyAlignment="1">
      <alignment horizontal="center" vertical="center"/>
    </xf>
    <xf numFmtId="0" fontId="113" fillId="220" borderId="42" xfId="0" applyFont="1" applyFill="1" applyBorder="1" applyAlignment="1">
      <alignment horizontal="center" vertical="center"/>
    </xf>
    <xf numFmtId="0" fontId="113" fillId="221" borderId="42" xfId="0" applyFont="1" applyFill="1" applyBorder="1" applyAlignment="1">
      <alignment horizontal="center" vertical="center"/>
    </xf>
    <xf numFmtId="0" fontId="113" fillId="222" borderId="42" xfId="0" applyFont="1" applyFill="1" applyBorder="1" applyAlignment="1">
      <alignment horizontal="center" vertical="center"/>
    </xf>
    <xf numFmtId="0" fontId="113" fillId="223" borderId="42" xfId="0" applyFont="1" applyFill="1" applyBorder="1" applyAlignment="1">
      <alignment horizontal="center" vertical="center"/>
    </xf>
    <xf numFmtId="0" fontId="113" fillId="224" borderId="42" xfId="0" applyFont="1" applyFill="1" applyBorder="1" applyAlignment="1">
      <alignment horizontal="center" vertical="center"/>
    </xf>
    <xf numFmtId="0" fontId="112" fillId="225" borderId="42" xfId="0" applyFont="1" applyFill="1" applyBorder="1" applyAlignment="1">
      <alignment horizontal="center" vertical="center"/>
    </xf>
    <xf numFmtId="0" fontId="112" fillId="226" borderId="42" xfId="0" applyFont="1" applyFill="1" applyBorder="1" applyAlignment="1">
      <alignment horizontal="center" vertical="center"/>
    </xf>
    <xf numFmtId="0" fontId="112" fillId="227" borderId="42" xfId="0" applyFont="1" applyFill="1" applyBorder="1" applyAlignment="1">
      <alignment horizontal="center" vertical="center"/>
    </xf>
    <xf numFmtId="0" fontId="112" fillId="228" borderId="42" xfId="0" applyFont="1" applyFill="1" applyBorder="1" applyAlignment="1">
      <alignment horizontal="center" vertical="center"/>
    </xf>
    <xf numFmtId="0" fontId="112" fillId="229" borderId="42" xfId="0" applyFont="1" applyFill="1" applyBorder="1" applyAlignment="1">
      <alignment horizontal="center" vertical="center"/>
    </xf>
    <xf numFmtId="0" fontId="112" fillId="230" borderId="42" xfId="0" applyFont="1" applyFill="1" applyBorder="1" applyAlignment="1">
      <alignment horizontal="center" vertical="center"/>
    </xf>
    <xf numFmtId="0" fontId="112" fillId="231" borderId="42" xfId="0" applyFont="1" applyFill="1" applyBorder="1" applyAlignment="1">
      <alignment horizontal="center" vertical="center"/>
    </xf>
    <xf numFmtId="0" fontId="112" fillId="232" borderId="42" xfId="0" applyFont="1" applyFill="1" applyBorder="1" applyAlignment="1">
      <alignment horizontal="center" vertical="center"/>
    </xf>
    <xf numFmtId="0" fontId="112" fillId="233" borderId="42" xfId="0" applyFont="1" applyFill="1" applyBorder="1" applyAlignment="1">
      <alignment horizontal="center" vertical="center"/>
    </xf>
    <xf numFmtId="0" fontId="84" fillId="234" borderId="42" xfId="0" applyFont="1" applyFill="1" applyBorder="1" applyAlignment="1">
      <alignment horizontal="center" vertical="center"/>
    </xf>
    <xf numFmtId="0" fontId="84" fillId="235" borderId="42" xfId="0" applyFont="1" applyFill="1" applyBorder="1" applyAlignment="1">
      <alignment horizontal="center" vertical="center"/>
    </xf>
    <xf numFmtId="0" fontId="84" fillId="236" borderId="42" xfId="0" applyFont="1" applyFill="1" applyBorder="1" applyAlignment="1">
      <alignment horizontal="center" vertical="center"/>
    </xf>
    <xf numFmtId="0" fontId="84" fillId="237" borderId="42" xfId="0" applyFont="1" applyFill="1" applyBorder="1" applyAlignment="1">
      <alignment horizontal="center" vertical="center"/>
    </xf>
    <xf numFmtId="0" fontId="84" fillId="238" borderId="42" xfId="0" applyFont="1" applyFill="1" applyBorder="1" applyAlignment="1">
      <alignment horizontal="center" vertical="center"/>
    </xf>
    <xf numFmtId="0" fontId="84" fillId="239" borderId="42" xfId="0" applyFont="1" applyFill="1" applyBorder="1" applyAlignment="1">
      <alignment horizontal="center" vertical="center"/>
    </xf>
    <xf numFmtId="0" fontId="84" fillId="240" borderId="42" xfId="0" applyFont="1" applyFill="1" applyBorder="1" applyAlignment="1">
      <alignment horizontal="center" vertical="center"/>
    </xf>
    <xf numFmtId="0" fontId="84" fillId="241" borderId="42" xfId="0" applyFont="1" applyFill="1" applyBorder="1" applyAlignment="1">
      <alignment horizontal="center" vertical="center"/>
    </xf>
    <xf numFmtId="0" fontId="84" fillId="242" borderId="42" xfId="0" applyFont="1" applyFill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109" fillId="0" borderId="42" xfId="24" applyFont="1" applyBorder="1" applyAlignment="1">
      <alignment horizontal="left" vertical="center" wrapText="1"/>
    </xf>
    <xf numFmtId="0" fontId="114" fillId="243" borderId="42" xfId="0" applyFont="1" applyFill="1" applyBorder="1" applyAlignment="1">
      <alignment horizontal="left" vertical="center"/>
    </xf>
    <xf numFmtId="0" fontId="115" fillId="93" borderId="42" xfId="0" applyFont="1" applyFill="1" applyBorder="1" applyAlignment="1">
      <alignment horizontal="left" vertical="center"/>
    </xf>
    <xf numFmtId="0" fontId="84" fillId="186" borderId="43" xfId="0" applyFont="1" applyFill="1" applyBorder="1" applyAlignment="1">
      <alignment horizontal="center" vertical="center" wrapText="1"/>
    </xf>
    <xf numFmtId="0" fontId="113" fillId="93" borderId="42" xfId="0" applyFont="1" applyFill="1" applyBorder="1" applyAlignment="1">
      <alignment horizontal="center" vertical="center" wrapText="1"/>
    </xf>
    <xf numFmtId="0" fontId="113" fillId="93" borderId="42" xfId="0" applyFont="1" applyFill="1" applyBorder="1" applyAlignment="1">
      <alignment horizontal="left" vertical="center" wrapText="1"/>
    </xf>
    <xf numFmtId="0" fontId="113" fillId="196" borderId="42" xfId="0" applyFont="1" applyFill="1" applyBorder="1" applyAlignment="1">
      <alignment horizontal="center" vertical="center" wrapText="1"/>
    </xf>
    <xf numFmtId="0" fontId="113" fillId="196" borderId="42" xfId="0" applyFont="1" applyFill="1" applyBorder="1" applyAlignment="1">
      <alignment horizontal="left" vertical="center" wrapText="1"/>
    </xf>
    <xf numFmtId="0" fontId="72" fillId="8" borderId="0" xfId="20" applyFill="1"/>
    <xf numFmtId="0" fontId="112" fillId="206" borderId="44" xfId="0" applyFont="1" applyFill="1" applyBorder="1" applyAlignment="1">
      <alignment horizontal="center" vertical="center"/>
    </xf>
    <xf numFmtId="0" fontId="112" fillId="206" borderId="44" xfId="0" applyFont="1" applyFill="1" applyBorder="1" applyAlignment="1">
      <alignment horizontal="left" vertical="center"/>
    </xf>
    <xf numFmtId="0" fontId="78" fillId="8" borderId="0" xfId="13" applyFont="1" applyFill="1" applyAlignment="1">
      <alignment horizontal="center" vertical="center"/>
    </xf>
    <xf numFmtId="0" fontId="114" fillId="244" borderId="42" xfId="0" applyFont="1" applyFill="1" applyBorder="1" applyAlignment="1">
      <alignment horizontal="center" vertical="center"/>
    </xf>
    <xf numFmtId="0" fontId="115" fillId="93" borderId="42" xfId="0" applyFont="1" applyFill="1" applyBorder="1" applyAlignment="1">
      <alignment horizontal="left" vertical="center" wrapText="1"/>
    </xf>
    <xf numFmtId="0" fontId="115" fillId="175" borderId="42" xfId="0" applyFont="1" applyFill="1" applyBorder="1" applyAlignment="1">
      <alignment horizontal="center" vertical="center" wrapText="1"/>
    </xf>
    <xf numFmtId="0" fontId="115" fillId="93" borderId="42" xfId="0" applyFont="1" applyFill="1" applyBorder="1" applyAlignment="1">
      <alignment horizontal="center" vertical="center" wrapText="1"/>
    </xf>
    <xf numFmtId="0" fontId="115" fillId="196" borderId="42" xfId="0" applyFont="1" applyFill="1" applyBorder="1" applyAlignment="1">
      <alignment horizontal="left" vertical="center" wrapText="1"/>
    </xf>
    <xf numFmtId="0" fontId="115" fillId="186" borderId="42" xfId="0" applyFont="1" applyFill="1" applyBorder="1" applyAlignment="1">
      <alignment horizontal="center" vertical="center" wrapText="1"/>
    </xf>
    <xf numFmtId="0" fontId="115" fillId="196" borderId="42" xfId="0" applyFont="1" applyFill="1" applyBorder="1" applyAlignment="1">
      <alignment horizontal="center" vertical="center" wrapText="1"/>
    </xf>
    <xf numFmtId="0" fontId="115" fillId="245" borderId="42" xfId="0" applyFont="1" applyFill="1" applyBorder="1" applyAlignment="1">
      <alignment horizontal="center" vertical="center" wrapText="1"/>
    </xf>
    <xf numFmtId="0" fontId="115" fillId="246" borderId="42" xfId="0" applyFont="1" applyFill="1" applyBorder="1" applyAlignment="1">
      <alignment horizontal="center" vertical="center" wrapText="1"/>
    </xf>
    <xf numFmtId="0" fontId="115" fillId="234" borderId="42" xfId="0" applyFont="1" applyFill="1" applyBorder="1" applyAlignment="1">
      <alignment horizontal="center" vertical="center" wrapText="1"/>
    </xf>
    <xf numFmtId="0" fontId="115" fillId="247" borderId="42" xfId="0" applyFont="1" applyFill="1" applyBorder="1" applyAlignment="1">
      <alignment horizontal="center" vertical="center" wrapText="1"/>
    </xf>
    <xf numFmtId="0" fontId="115" fillId="248" borderId="42" xfId="0" applyFont="1" applyFill="1" applyBorder="1" applyAlignment="1">
      <alignment horizontal="center" vertical="center" wrapText="1"/>
    </xf>
    <xf numFmtId="0" fontId="115" fillId="249" borderId="42" xfId="0" applyFont="1" applyFill="1" applyBorder="1" applyAlignment="1">
      <alignment horizontal="center" vertical="center" wrapText="1"/>
    </xf>
    <xf numFmtId="0" fontId="115" fillId="250" borderId="42" xfId="0" applyFont="1" applyFill="1" applyBorder="1" applyAlignment="1">
      <alignment horizontal="center" vertical="center" wrapText="1"/>
    </xf>
    <xf numFmtId="0" fontId="114" fillId="251" borderId="42" xfId="0" applyFont="1" applyFill="1" applyBorder="1" applyAlignment="1">
      <alignment horizontal="left" vertical="center"/>
    </xf>
    <xf numFmtId="0" fontId="84" fillId="187" borderId="43" xfId="0" applyFont="1" applyFill="1" applyBorder="1" applyAlignment="1">
      <alignment horizontal="center" vertical="center" wrapText="1"/>
    </xf>
    <xf numFmtId="0" fontId="113" fillId="197" borderId="42" xfId="0" applyFont="1" applyFill="1" applyBorder="1" applyAlignment="1">
      <alignment horizontal="center" vertical="center" wrapText="1"/>
    </xf>
    <xf numFmtId="0" fontId="113" fillId="197" borderId="42" xfId="0" applyFont="1" applyFill="1" applyBorder="1" applyAlignment="1">
      <alignment horizontal="left" vertical="center" wrapText="1"/>
    </xf>
    <xf numFmtId="0" fontId="112" fillId="207" borderId="44" xfId="0" applyFont="1" applyFill="1" applyBorder="1" applyAlignment="1">
      <alignment horizontal="center" vertical="center"/>
    </xf>
    <xf numFmtId="0" fontId="112" fillId="207" borderId="44" xfId="0" applyFont="1" applyFill="1" applyBorder="1" applyAlignment="1">
      <alignment horizontal="left" vertical="center"/>
    </xf>
    <xf numFmtId="0" fontId="114" fillId="252" borderId="42" xfId="0" applyFont="1" applyFill="1" applyBorder="1" applyAlignment="1">
      <alignment horizontal="center" vertical="center"/>
    </xf>
    <xf numFmtId="0" fontId="115" fillId="176" borderId="42" xfId="0" applyFont="1" applyFill="1" applyBorder="1" applyAlignment="1">
      <alignment horizontal="center" vertical="center" wrapText="1"/>
    </xf>
    <xf numFmtId="0" fontId="115" fillId="197" borderId="42" xfId="0" applyFont="1" applyFill="1" applyBorder="1" applyAlignment="1">
      <alignment horizontal="left" vertical="center" wrapText="1"/>
    </xf>
    <xf numFmtId="0" fontId="115" fillId="187" borderId="42" xfId="0" applyFont="1" applyFill="1" applyBorder="1" applyAlignment="1">
      <alignment horizontal="center" vertical="center" wrapText="1"/>
    </xf>
    <xf numFmtId="0" fontId="115" fillId="197" borderId="42" xfId="0" applyFont="1" applyFill="1" applyBorder="1" applyAlignment="1">
      <alignment horizontal="center" vertical="center" wrapText="1"/>
    </xf>
    <xf numFmtId="0" fontId="115" fillId="253" borderId="42" xfId="0" applyFont="1" applyFill="1" applyBorder="1" applyAlignment="1">
      <alignment horizontal="center" vertical="center" wrapText="1"/>
    </xf>
    <xf numFmtId="0" fontId="115" fillId="254" borderId="42" xfId="0" applyFont="1" applyFill="1" applyBorder="1" applyAlignment="1">
      <alignment horizontal="center" vertical="center" wrapText="1"/>
    </xf>
    <xf numFmtId="0" fontId="115" fillId="235" borderId="42" xfId="0" applyFont="1" applyFill="1" applyBorder="1" applyAlignment="1">
      <alignment horizontal="center" vertical="center" wrapText="1"/>
    </xf>
    <xf numFmtId="0" fontId="114" fillId="255" borderId="42" xfId="0" applyFont="1" applyFill="1" applyBorder="1" applyAlignment="1">
      <alignment horizontal="left" vertical="center"/>
    </xf>
    <xf numFmtId="0" fontId="84" fillId="188" borderId="43" xfId="0" applyFont="1" applyFill="1" applyBorder="1" applyAlignment="1">
      <alignment horizontal="center" vertical="center" wrapText="1"/>
    </xf>
    <xf numFmtId="0" fontId="113" fillId="198" borderId="42" xfId="0" applyFont="1" applyFill="1" applyBorder="1" applyAlignment="1">
      <alignment horizontal="center" vertical="center" wrapText="1"/>
    </xf>
    <xf numFmtId="0" fontId="113" fillId="198" borderId="42" xfId="0" applyFont="1" applyFill="1" applyBorder="1" applyAlignment="1">
      <alignment horizontal="left" vertical="center" wrapText="1"/>
    </xf>
    <xf numFmtId="0" fontId="112" fillId="208" borderId="44" xfId="0" applyFont="1" applyFill="1" applyBorder="1" applyAlignment="1">
      <alignment horizontal="center" vertical="center"/>
    </xf>
    <xf numFmtId="0" fontId="112" fillId="208" borderId="44" xfId="0" applyFont="1" applyFill="1" applyBorder="1" applyAlignment="1">
      <alignment horizontal="left" vertical="center"/>
    </xf>
    <xf numFmtId="0" fontId="114" fillId="256" borderId="42" xfId="0" applyFont="1" applyFill="1" applyBorder="1" applyAlignment="1">
      <alignment horizontal="center" vertical="center"/>
    </xf>
    <xf numFmtId="0" fontId="115" fillId="177" borderId="42" xfId="0" applyFont="1" applyFill="1" applyBorder="1" applyAlignment="1">
      <alignment horizontal="center" vertical="center" wrapText="1"/>
    </xf>
    <xf numFmtId="0" fontId="115" fillId="198" borderId="42" xfId="0" applyFont="1" applyFill="1" applyBorder="1" applyAlignment="1">
      <alignment horizontal="left" vertical="center" wrapText="1"/>
    </xf>
    <xf numFmtId="0" fontId="115" fillId="188" borderId="42" xfId="0" applyFont="1" applyFill="1" applyBorder="1" applyAlignment="1">
      <alignment horizontal="center" vertical="center" wrapText="1"/>
    </xf>
    <xf numFmtId="0" fontId="115" fillId="198" borderId="42" xfId="0" applyFont="1" applyFill="1" applyBorder="1" applyAlignment="1">
      <alignment horizontal="center" vertical="center" wrapText="1"/>
    </xf>
    <xf numFmtId="0" fontId="115" fillId="257" borderId="42" xfId="0" applyFont="1" applyFill="1" applyBorder="1" applyAlignment="1">
      <alignment horizontal="center" vertical="center" wrapText="1"/>
    </xf>
    <xf numFmtId="0" fontId="115" fillId="258" borderId="42" xfId="0" applyFont="1" applyFill="1" applyBorder="1" applyAlignment="1">
      <alignment horizontal="center" vertical="center" wrapText="1"/>
    </xf>
    <xf numFmtId="0" fontId="115" fillId="236" borderId="42" xfId="0" applyFont="1" applyFill="1" applyBorder="1" applyAlignment="1">
      <alignment horizontal="center" vertical="center" wrapText="1"/>
    </xf>
    <xf numFmtId="0" fontId="115" fillId="259" borderId="42" xfId="0" applyFont="1" applyFill="1" applyBorder="1" applyAlignment="1">
      <alignment horizontal="center" vertical="center" wrapText="1"/>
    </xf>
    <xf numFmtId="0" fontId="114" fillId="173" borderId="42" xfId="0" applyFont="1" applyFill="1" applyBorder="1" applyAlignment="1">
      <alignment horizontal="left" vertical="center"/>
    </xf>
    <xf numFmtId="0" fontId="84" fillId="189" borderId="43" xfId="0" applyFont="1" applyFill="1" applyBorder="1" applyAlignment="1">
      <alignment horizontal="center" vertical="center" wrapText="1"/>
    </xf>
    <xf numFmtId="0" fontId="113" fillId="199" borderId="42" xfId="0" applyFont="1" applyFill="1" applyBorder="1" applyAlignment="1">
      <alignment horizontal="center" vertical="center" wrapText="1"/>
    </xf>
    <xf numFmtId="0" fontId="113" fillId="199" borderId="42" xfId="0" applyFont="1" applyFill="1" applyBorder="1" applyAlignment="1">
      <alignment horizontal="left" vertical="center" wrapText="1"/>
    </xf>
    <xf numFmtId="0" fontId="112" fillId="209" borderId="44" xfId="0" applyFont="1" applyFill="1" applyBorder="1" applyAlignment="1">
      <alignment horizontal="center" vertical="center"/>
    </xf>
    <xf numFmtId="0" fontId="112" fillId="209" borderId="44" xfId="0" applyFont="1" applyFill="1" applyBorder="1" applyAlignment="1">
      <alignment horizontal="left" vertical="center"/>
    </xf>
    <xf numFmtId="0" fontId="114" fillId="260" borderId="42" xfId="0" applyFont="1" applyFill="1" applyBorder="1" applyAlignment="1">
      <alignment horizontal="center" vertical="center"/>
    </xf>
    <xf numFmtId="0" fontId="115" fillId="178" borderId="42" xfId="0" applyFont="1" applyFill="1" applyBorder="1" applyAlignment="1">
      <alignment horizontal="center" vertical="center" wrapText="1"/>
    </xf>
    <xf numFmtId="0" fontId="115" fillId="199" borderId="42" xfId="0" applyFont="1" applyFill="1" applyBorder="1" applyAlignment="1">
      <alignment horizontal="left" vertical="center" wrapText="1"/>
    </xf>
    <xf numFmtId="0" fontId="115" fillId="189" borderId="42" xfId="0" applyFont="1" applyFill="1" applyBorder="1" applyAlignment="1">
      <alignment horizontal="center" vertical="center" wrapText="1"/>
    </xf>
    <xf numFmtId="0" fontId="115" fillId="199" borderId="42" xfId="0" applyFont="1" applyFill="1" applyBorder="1" applyAlignment="1">
      <alignment horizontal="center" vertical="center" wrapText="1"/>
    </xf>
    <xf numFmtId="0" fontId="115" fillId="261" borderId="42" xfId="0" applyFont="1" applyFill="1" applyBorder="1" applyAlignment="1">
      <alignment horizontal="center" vertical="center" wrapText="1"/>
    </xf>
    <xf numFmtId="0" fontId="115" fillId="262" borderId="42" xfId="0" applyFont="1" applyFill="1" applyBorder="1" applyAlignment="1">
      <alignment horizontal="center" vertical="center" wrapText="1"/>
    </xf>
    <xf numFmtId="0" fontId="115" fillId="237" borderId="42" xfId="0" applyFont="1" applyFill="1" applyBorder="1" applyAlignment="1">
      <alignment horizontal="center" vertical="center" wrapText="1"/>
    </xf>
    <xf numFmtId="0" fontId="114" fillId="263" borderId="42" xfId="0" applyFont="1" applyFill="1" applyBorder="1" applyAlignment="1">
      <alignment horizontal="left" vertical="center"/>
    </xf>
    <xf numFmtId="0" fontId="84" fillId="190" borderId="43" xfId="0" applyFont="1" applyFill="1" applyBorder="1" applyAlignment="1">
      <alignment horizontal="center" vertical="center" wrapText="1"/>
    </xf>
    <xf numFmtId="0" fontId="113" fillId="200" borderId="42" xfId="0" applyFont="1" applyFill="1" applyBorder="1" applyAlignment="1">
      <alignment horizontal="center" vertical="center" wrapText="1"/>
    </xf>
    <xf numFmtId="0" fontId="113" fillId="200" borderId="42" xfId="0" applyFont="1" applyFill="1" applyBorder="1" applyAlignment="1">
      <alignment horizontal="left" vertical="center" wrapText="1"/>
    </xf>
    <xf numFmtId="0" fontId="112" fillId="210" borderId="44" xfId="0" applyFont="1" applyFill="1" applyBorder="1" applyAlignment="1">
      <alignment horizontal="center" vertical="center"/>
    </xf>
    <xf numFmtId="0" fontId="112" fillId="210" borderId="44" xfId="0" applyFont="1" applyFill="1" applyBorder="1" applyAlignment="1">
      <alignment horizontal="left" vertical="center"/>
    </xf>
    <xf numFmtId="0" fontId="114" fillId="264" borderId="42" xfId="0" applyFont="1" applyFill="1" applyBorder="1" applyAlignment="1">
      <alignment horizontal="center" vertical="center"/>
    </xf>
    <xf numFmtId="0" fontId="115" fillId="179" borderId="42" xfId="0" applyFont="1" applyFill="1" applyBorder="1" applyAlignment="1">
      <alignment horizontal="center" vertical="center" wrapText="1"/>
    </xf>
    <xf numFmtId="0" fontId="115" fillId="200" borderId="42" xfId="0" applyFont="1" applyFill="1" applyBorder="1" applyAlignment="1">
      <alignment horizontal="left" vertical="center" wrapText="1"/>
    </xf>
    <xf numFmtId="0" fontId="115" fillId="190" borderId="42" xfId="0" applyFont="1" applyFill="1" applyBorder="1" applyAlignment="1">
      <alignment horizontal="center" vertical="center" wrapText="1"/>
    </xf>
    <xf numFmtId="0" fontId="115" fillId="200" borderId="42" xfId="0" applyFont="1" applyFill="1" applyBorder="1" applyAlignment="1">
      <alignment horizontal="center" vertical="center" wrapText="1"/>
    </xf>
    <xf numFmtId="0" fontId="115" fillId="265" borderId="42" xfId="0" applyFont="1" applyFill="1" applyBorder="1" applyAlignment="1">
      <alignment horizontal="center" vertical="center" wrapText="1"/>
    </xf>
    <xf numFmtId="0" fontId="115" fillId="266" borderId="42" xfId="0" applyFont="1" applyFill="1" applyBorder="1" applyAlignment="1">
      <alignment horizontal="center" vertical="center" wrapText="1"/>
    </xf>
    <xf numFmtId="0" fontId="115" fillId="238" borderId="42" xfId="0" applyFont="1" applyFill="1" applyBorder="1" applyAlignment="1">
      <alignment horizontal="center" vertical="center" wrapText="1"/>
    </xf>
    <xf numFmtId="0" fontId="115" fillId="193" borderId="42" xfId="0" applyFont="1" applyFill="1" applyBorder="1" applyAlignment="1">
      <alignment horizontal="center" vertical="center" wrapText="1"/>
    </xf>
    <xf numFmtId="0" fontId="114" fillId="267" borderId="42" xfId="0" applyFont="1" applyFill="1" applyBorder="1" applyAlignment="1">
      <alignment horizontal="left" vertical="center"/>
    </xf>
    <xf numFmtId="0" fontId="84" fillId="191" borderId="43" xfId="0" applyFont="1" applyFill="1" applyBorder="1" applyAlignment="1">
      <alignment horizontal="center" vertical="center" wrapText="1"/>
    </xf>
    <xf numFmtId="0" fontId="113" fillId="201" borderId="42" xfId="0" applyFont="1" applyFill="1" applyBorder="1" applyAlignment="1">
      <alignment horizontal="center" vertical="center" wrapText="1"/>
    </xf>
    <xf numFmtId="0" fontId="113" fillId="201" borderId="42" xfId="0" applyFont="1" applyFill="1" applyBorder="1" applyAlignment="1">
      <alignment horizontal="left" vertical="center" wrapText="1"/>
    </xf>
    <xf numFmtId="0" fontId="112" fillId="211" borderId="44" xfId="0" applyFont="1" applyFill="1" applyBorder="1" applyAlignment="1">
      <alignment horizontal="center" vertical="center"/>
    </xf>
    <xf numFmtId="0" fontId="112" fillId="211" borderId="44" xfId="0" applyFont="1" applyFill="1" applyBorder="1" applyAlignment="1">
      <alignment horizontal="left" vertical="center"/>
    </xf>
    <xf numFmtId="0" fontId="114" fillId="268" borderId="42" xfId="0" applyFont="1" applyFill="1" applyBorder="1" applyAlignment="1">
      <alignment horizontal="center" vertical="center"/>
    </xf>
    <xf numFmtId="0" fontId="115" fillId="180" borderId="42" xfId="0" applyFont="1" applyFill="1" applyBorder="1" applyAlignment="1">
      <alignment horizontal="center" vertical="center" wrapText="1"/>
    </xf>
    <xf numFmtId="0" fontId="115" fillId="201" borderId="42" xfId="0" applyFont="1" applyFill="1" applyBorder="1" applyAlignment="1">
      <alignment horizontal="left" vertical="center" wrapText="1"/>
    </xf>
    <xf numFmtId="0" fontId="115" fillId="191" borderId="42" xfId="0" applyFont="1" applyFill="1" applyBorder="1" applyAlignment="1">
      <alignment horizontal="center" vertical="center" wrapText="1"/>
    </xf>
    <xf numFmtId="0" fontId="115" fillId="201" borderId="42" xfId="0" applyFont="1" applyFill="1" applyBorder="1" applyAlignment="1">
      <alignment horizontal="center" vertical="center" wrapText="1"/>
    </xf>
    <xf numFmtId="0" fontId="115" fillId="269" borderId="42" xfId="0" applyFont="1" applyFill="1" applyBorder="1" applyAlignment="1">
      <alignment horizontal="center" vertical="center" wrapText="1"/>
    </xf>
    <xf numFmtId="0" fontId="115" fillId="270" borderId="42" xfId="0" applyFont="1" applyFill="1" applyBorder="1" applyAlignment="1">
      <alignment horizontal="center" vertical="center" wrapText="1"/>
    </xf>
    <xf numFmtId="0" fontId="115" fillId="239" borderId="42" xfId="0" applyFont="1" applyFill="1" applyBorder="1" applyAlignment="1">
      <alignment horizontal="center" vertical="center" wrapText="1"/>
    </xf>
    <xf numFmtId="0" fontId="115" fillId="271" borderId="42" xfId="0" applyFont="1" applyFill="1" applyBorder="1" applyAlignment="1">
      <alignment horizontal="center" vertical="center" wrapText="1"/>
    </xf>
    <xf numFmtId="0" fontId="114" fillId="272" borderId="42" xfId="0" applyFont="1" applyFill="1" applyBorder="1" applyAlignment="1">
      <alignment horizontal="left" vertical="center"/>
    </xf>
    <xf numFmtId="0" fontId="84" fillId="192" borderId="43" xfId="0" applyFont="1" applyFill="1" applyBorder="1" applyAlignment="1">
      <alignment horizontal="center" vertical="center" wrapText="1"/>
    </xf>
    <xf numFmtId="0" fontId="113" fillId="202" borderId="42" xfId="0" applyFont="1" applyFill="1" applyBorder="1" applyAlignment="1">
      <alignment horizontal="center" vertical="center" wrapText="1"/>
    </xf>
    <xf numFmtId="0" fontId="113" fillId="202" borderId="42" xfId="0" applyFont="1" applyFill="1" applyBorder="1" applyAlignment="1">
      <alignment horizontal="left" vertical="center" wrapText="1"/>
    </xf>
    <xf numFmtId="0" fontId="112" fillId="212" borderId="44" xfId="0" applyFont="1" applyFill="1" applyBorder="1" applyAlignment="1">
      <alignment horizontal="center" vertical="center"/>
    </xf>
    <xf numFmtId="0" fontId="112" fillId="212" borderId="44" xfId="0" applyFont="1" applyFill="1" applyBorder="1" applyAlignment="1">
      <alignment horizontal="left" vertical="center"/>
    </xf>
    <xf numFmtId="0" fontId="114" fillId="273" borderId="42" xfId="0" applyFont="1" applyFill="1" applyBorder="1" applyAlignment="1">
      <alignment horizontal="center" vertical="center"/>
    </xf>
    <xf numFmtId="0" fontId="115" fillId="181" borderId="42" xfId="0" applyFont="1" applyFill="1" applyBorder="1" applyAlignment="1">
      <alignment horizontal="center" vertical="center" wrapText="1"/>
    </xf>
    <xf numFmtId="0" fontId="115" fillId="202" borderId="42" xfId="0" applyFont="1" applyFill="1" applyBorder="1" applyAlignment="1">
      <alignment horizontal="left" vertical="center" wrapText="1"/>
    </xf>
    <xf numFmtId="0" fontId="115" fillId="192" borderId="42" xfId="0" applyFont="1" applyFill="1" applyBorder="1" applyAlignment="1">
      <alignment horizontal="center" vertical="center" wrapText="1"/>
    </xf>
    <xf numFmtId="0" fontId="115" fillId="202" borderId="42" xfId="0" applyFont="1" applyFill="1" applyBorder="1" applyAlignment="1">
      <alignment horizontal="center" vertical="center" wrapText="1"/>
    </xf>
    <xf numFmtId="0" fontId="115" fillId="274" borderId="42" xfId="0" applyFont="1" applyFill="1" applyBorder="1" applyAlignment="1">
      <alignment horizontal="center" vertical="center" wrapText="1"/>
    </xf>
    <xf numFmtId="0" fontId="115" fillId="275" borderId="42" xfId="0" applyFont="1" applyFill="1" applyBorder="1" applyAlignment="1">
      <alignment horizontal="center" vertical="center" wrapText="1"/>
    </xf>
    <xf numFmtId="0" fontId="115" fillId="240" borderId="42" xfId="0" applyFont="1" applyFill="1" applyBorder="1" applyAlignment="1">
      <alignment horizontal="center" vertical="center" wrapText="1"/>
    </xf>
    <xf numFmtId="0" fontId="115" fillId="276" borderId="42" xfId="0" applyFont="1" applyFill="1" applyBorder="1" applyAlignment="1">
      <alignment horizontal="center" vertical="center" wrapText="1"/>
    </xf>
    <xf numFmtId="0" fontId="84" fillId="193" borderId="43" xfId="0" applyFont="1" applyFill="1" applyBorder="1" applyAlignment="1">
      <alignment horizontal="center" vertical="center" wrapText="1"/>
    </xf>
    <xf numFmtId="0" fontId="113" fillId="203" borderId="42" xfId="0" applyFont="1" applyFill="1" applyBorder="1" applyAlignment="1">
      <alignment horizontal="center" vertical="center" wrapText="1"/>
    </xf>
    <xf numFmtId="0" fontId="113" fillId="203" borderId="42" xfId="0" applyFont="1" applyFill="1" applyBorder="1" applyAlignment="1">
      <alignment horizontal="left" vertical="center" wrapText="1"/>
    </xf>
    <xf numFmtId="0" fontId="115" fillId="182" borderId="42" xfId="0" applyFont="1" applyFill="1" applyBorder="1" applyAlignment="1">
      <alignment horizontal="center" vertical="center" wrapText="1"/>
    </xf>
    <xf numFmtId="0" fontId="115" fillId="203" borderId="42" xfId="0" applyFont="1" applyFill="1" applyBorder="1" applyAlignment="1">
      <alignment horizontal="left" vertical="center" wrapText="1"/>
    </xf>
    <xf numFmtId="0" fontId="115" fillId="203" borderId="42" xfId="0" applyFont="1" applyFill="1" applyBorder="1" applyAlignment="1">
      <alignment horizontal="center" vertical="center" wrapText="1"/>
    </xf>
    <xf numFmtId="0" fontId="115" fillId="277" borderId="42" xfId="0" applyFont="1" applyFill="1" applyBorder="1" applyAlignment="1">
      <alignment horizontal="center" vertical="center" wrapText="1"/>
    </xf>
    <xf numFmtId="0" fontId="114" fillId="278" borderId="42" xfId="0" applyFont="1" applyFill="1" applyBorder="1" applyAlignment="1">
      <alignment horizontal="left" vertical="center"/>
    </xf>
    <xf numFmtId="0" fontId="84" fillId="194" borderId="43" xfId="0" applyFont="1" applyFill="1" applyBorder="1" applyAlignment="1">
      <alignment horizontal="center" vertical="center" wrapText="1"/>
    </xf>
    <xf numFmtId="0" fontId="113" fillId="204" borderId="42" xfId="0" applyFont="1" applyFill="1" applyBorder="1" applyAlignment="1">
      <alignment horizontal="center" vertical="center" wrapText="1"/>
    </xf>
    <xf numFmtId="0" fontId="113" fillId="204" borderId="42" xfId="0" applyFont="1" applyFill="1" applyBorder="1" applyAlignment="1">
      <alignment horizontal="left" vertical="center" wrapText="1"/>
    </xf>
    <xf numFmtId="0" fontId="112" fillId="213" borderId="44" xfId="0" applyFont="1" applyFill="1" applyBorder="1" applyAlignment="1">
      <alignment horizontal="center" vertical="center"/>
    </xf>
    <xf numFmtId="0" fontId="112" fillId="213" borderId="44" xfId="0" applyFont="1" applyFill="1" applyBorder="1" applyAlignment="1">
      <alignment horizontal="left" vertical="center"/>
    </xf>
    <xf numFmtId="0" fontId="114" fillId="209" borderId="42" xfId="0" applyFont="1" applyFill="1" applyBorder="1" applyAlignment="1">
      <alignment horizontal="center" vertical="center"/>
    </xf>
    <xf numFmtId="0" fontId="115" fillId="183" borderId="42" xfId="0" applyFont="1" applyFill="1" applyBorder="1" applyAlignment="1">
      <alignment horizontal="center" vertical="center" wrapText="1"/>
    </xf>
    <xf numFmtId="0" fontId="115" fillId="204" borderId="42" xfId="0" applyFont="1" applyFill="1" applyBorder="1" applyAlignment="1">
      <alignment horizontal="left" vertical="center" wrapText="1"/>
    </xf>
    <xf numFmtId="0" fontId="115" fillId="194" borderId="42" xfId="0" applyFont="1" applyFill="1" applyBorder="1" applyAlignment="1">
      <alignment horizontal="center" vertical="center" wrapText="1"/>
    </xf>
    <xf numFmtId="0" fontId="115" fillId="204" borderId="42" xfId="0" applyFont="1" applyFill="1" applyBorder="1" applyAlignment="1">
      <alignment horizontal="center" vertical="center" wrapText="1"/>
    </xf>
    <xf numFmtId="0" fontId="115" fillId="279" borderId="42" xfId="0" applyFont="1" applyFill="1" applyBorder="1" applyAlignment="1">
      <alignment horizontal="center" vertical="center" wrapText="1"/>
    </xf>
    <xf numFmtId="0" fontId="115" fillId="280" borderId="42" xfId="0" applyFont="1" applyFill="1" applyBorder="1" applyAlignment="1">
      <alignment horizontal="center" vertical="center" wrapText="1"/>
    </xf>
    <xf numFmtId="0" fontId="115" fillId="241" borderId="42" xfId="0" applyFont="1" applyFill="1" applyBorder="1" applyAlignment="1">
      <alignment horizontal="center" vertical="center" wrapText="1"/>
    </xf>
    <xf numFmtId="0" fontId="115" fillId="281" borderId="42" xfId="0" applyFont="1" applyFill="1" applyBorder="1" applyAlignment="1">
      <alignment horizontal="center" vertical="center" wrapText="1"/>
    </xf>
    <xf numFmtId="0" fontId="71" fillId="282" borderId="5" xfId="2" applyFont="1" applyFill="1" applyBorder="1" applyAlignment="1" applyProtection="1">
      <alignment horizontal="center" vertical="center"/>
      <protection locked="0"/>
    </xf>
    <xf numFmtId="0" fontId="0" fillId="61" borderId="0" xfId="0" applyFill="1" applyAlignment="1">
      <alignment vertical="center"/>
    </xf>
    <xf numFmtId="0" fontId="83" fillId="283" borderId="0" xfId="21" applyFont="1" applyFill="1" applyAlignment="1">
      <alignment horizontal="right" vertical="center" wrapText="1"/>
    </xf>
    <xf numFmtId="0" fontId="46" fillId="283" borderId="0" xfId="21" applyFont="1" applyFill="1" applyAlignment="1">
      <alignment horizontal="center" vertical="center"/>
    </xf>
    <xf numFmtId="0" fontId="48" fillId="240" borderId="0" xfId="21" applyFont="1" applyFill="1" applyAlignment="1">
      <alignment horizontal="right" vertical="center"/>
    </xf>
    <xf numFmtId="0" fontId="48" fillId="240" borderId="0" xfId="21" applyFont="1" applyFill="1" applyAlignment="1">
      <alignment horizontal="center" vertical="center"/>
    </xf>
    <xf numFmtId="0" fontId="83" fillId="284" borderId="0" xfId="21" applyFont="1" applyFill="1" applyAlignment="1">
      <alignment horizontal="right" vertical="center"/>
    </xf>
    <xf numFmtId="0" fontId="83" fillId="284" borderId="0" xfId="21" applyFont="1" applyFill="1" applyAlignment="1">
      <alignment horizontal="center" vertical="center"/>
    </xf>
    <xf numFmtId="0" fontId="48" fillId="285" borderId="0" xfId="21" applyFont="1" applyFill="1" applyAlignment="1">
      <alignment horizontal="right" vertical="center"/>
    </xf>
    <xf numFmtId="0" fontId="48" fillId="285" borderId="0" xfId="21" applyFont="1" applyFill="1" applyAlignment="1">
      <alignment horizontal="center" vertical="center"/>
    </xf>
    <xf numFmtId="0" fontId="48" fillId="286" borderId="0" xfId="21" applyFont="1" applyFill="1" applyAlignment="1">
      <alignment horizontal="right" vertical="center"/>
    </xf>
    <xf numFmtId="0" fontId="33" fillId="286" borderId="0" xfId="21" applyFont="1" applyFill="1" applyAlignment="1">
      <alignment horizontal="center" vertical="center"/>
    </xf>
    <xf numFmtId="0" fontId="48" fillId="287" borderId="0" xfId="21" applyFont="1" applyFill="1" applyAlignment="1">
      <alignment horizontal="right" vertical="center"/>
    </xf>
    <xf numFmtId="0" fontId="48" fillId="287" borderId="0" xfId="21" applyFont="1" applyFill="1" applyAlignment="1">
      <alignment horizontal="center" vertical="center"/>
    </xf>
    <xf numFmtId="0" fontId="116" fillId="288" borderId="0" xfId="21" applyFont="1" applyFill="1" applyAlignment="1">
      <alignment horizontal="right" vertical="center"/>
    </xf>
    <xf numFmtId="0" fontId="116" fillId="288" borderId="0" xfId="21" applyFont="1" applyFill="1" applyAlignment="1">
      <alignment horizontal="center" vertical="center"/>
    </xf>
    <xf numFmtId="0" fontId="48" fillId="289" borderId="0" xfId="21" applyFont="1" applyFill="1" applyAlignment="1">
      <alignment horizontal="right" vertical="center"/>
    </xf>
    <xf numFmtId="0" fontId="48" fillId="289" borderId="0" xfId="21" applyFont="1" applyFill="1" applyAlignment="1">
      <alignment horizontal="center" vertical="center"/>
    </xf>
    <xf numFmtId="0" fontId="86" fillId="7" borderId="0" xfId="17" applyFont="1" applyFill="1" applyAlignment="1">
      <alignment vertical="center"/>
    </xf>
    <xf numFmtId="0" fontId="83" fillId="239" borderId="0" xfId="21" applyFont="1" applyFill="1" applyAlignment="1">
      <alignment horizontal="right" vertical="center"/>
    </xf>
    <xf numFmtId="0" fontId="46" fillId="239" borderId="0" xfId="21" applyFont="1" applyFill="1" applyAlignment="1">
      <alignment horizontal="center" vertical="center"/>
    </xf>
    <xf numFmtId="0" fontId="83" fillId="290" borderId="0" xfId="21" applyFont="1" applyFill="1" applyAlignment="1">
      <alignment horizontal="right" vertical="center"/>
    </xf>
    <xf numFmtId="0" fontId="83" fillId="290" borderId="0" xfId="21" applyFont="1" applyFill="1" applyAlignment="1">
      <alignment horizontal="center" vertical="center"/>
    </xf>
    <xf numFmtId="0" fontId="83" fillId="291" borderId="0" xfId="21" applyFont="1" applyFill="1" applyAlignment="1">
      <alignment horizontal="right" vertical="center"/>
    </xf>
    <xf numFmtId="0" fontId="83" fillId="291" borderId="0" xfId="21" applyFont="1" applyFill="1" applyAlignment="1">
      <alignment horizontal="center" vertical="center"/>
    </xf>
    <xf numFmtId="0" fontId="48" fillId="292" borderId="0" xfId="21" applyFont="1" applyFill="1" applyAlignment="1">
      <alignment horizontal="right" vertical="center"/>
    </xf>
    <xf numFmtId="0" fontId="33" fillId="292" borderId="0" xfId="21" applyFont="1" applyFill="1" applyAlignment="1">
      <alignment horizontal="center" vertical="center"/>
    </xf>
    <xf numFmtId="0" fontId="48" fillId="293" borderId="0" xfId="21" applyFont="1" applyFill="1" applyAlignment="1">
      <alignment horizontal="right" vertical="center"/>
    </xf>
    <xf numFmtId="0" fontId="48" fillId="293" borderId="0" xfId="21" applyFont="1" applyFill="1" applyAlignment="1">
      <alignment horizontal="center" vertical="center"/>
    </xf>
    <xf numFmtId="0" fontId="83" fillId="294" borderId="0" xfId="21" applyFont="1" applyFill="1" applyAlignment="1">
      <alignment horizontal="right" vertical="center"/>
    </xf>
    <xf numFmtId="0" fontId="83" fillId="294" borderId="0" xfId="21" applyFont="1" applyFill="1" applyAlignment="1">
      <alignment horizontal="center" vertical="center"/>
    </xf>
    <xf numFmtId="0" fontId="92" fillId="0" borderId="0" xfId="21" applyFont="1" applyAlignment="1">
      <alignment vertical="center"/>
    </xf>
    <xf numFmtId="0" fontId="13" fillId="7" borderId="0" xfId="2" applyFont="1" applyFill="1" applyAlignment="1">
      <alignment vertical="center"/>
    </xf>
    <xf numFmtId="0" fontId="30" fillId="8" borderId="0" xfId="1" applyFont="1" applyFill="1" applyAlignment="1">
      <alignment vertical="center"/>
    </xf>
    <xf numFmtId="0" fontId="28" fillId="5" borderId="0" xfId="1" applyFont="1" applyFill="1" applyAlignment="1">
      <alignment vertical="center"/>
    </xf>
    <xf numFmtId="0" fontId="5" fillId="5" borderId="0" xfId="1" applyFill="1" applyAlignment="1">
      <alignment vertical="center"/>
    </xf>
    <xf numFmtId="0" fontId="5" fillId="5" borderId="6" xfId="1" applyFill="1" applyBorder="1" applyAlignment="1">
      <alignment vertical="center"/>
    </xf>
    <xf numFmtId="0" fontId="52" fillId="282" borderId="0" xfId="1" applyFont="1" applyFill="1" applyAlignment="1">
      <alignment horizontal="center" vertical="center"/>
    </xf>
    <xf numFmtId="0" fontId="27" fillId="8" borderId="0" xfId="1" applyFont="1" applyFill="1" applyAlignment="1">
      <alignment horizontal="center" vertical="center"/>
    </xf>
    <xf numFmtId="0" fontId="28" fillId="8" borderId="0" xfId="1" applyFont="1" applyFill="1" applyAlignment="1">
      <alignment vertical="center"/>
    </xf>
    <xf numFmtId="0" fontId="8" fillId="8" borderId="0" xfId="1" applyFont="1" applyFill="1" applyAlignment="1">
      <alignment vertical="center"/>
    </xf>
    <xf numFmtId="0" fontId="17" fillId="8" borderId="0" xfId="1" applyFont="1" applyFill="1" applyAlignment="1">
      <alignment vertical="center"/>
    </xf>
    <xf numFmtId="0" fontId="5" fillId="8" borderId="0" xfId="1" applyFill="1" applyAlignment="1">
      <alignment vertical="center"/>
    </xf>
    <xf numFmtId="0" fontId="30" fillId="8" borderId="0" xfId="1" applyFont="1" applyFill="1" applyAlignment="1">
      <alignment horizontal="left" vertical="center"/>
    </xf>
    <xf numFmtId="0" fontId="21" fillId="8" borderId="0" xfId="1" applyFont="1" applyFill="1" applyAlignment="1">
      <alignment vertical="center"/>
    </xf>
    <xf numFmtId="0" fontId="18" fillId="8" borderId="0" xfId="1" applyFont="1" applyFill="1" applyAlignment="1">
      <alignment vertical="center"/>
    </xf>
    <xf numFmtId="0" fontId="27" fillId="0" borderId="0" xfId="1" applyFont="1" applyAlignment="1">
      <alignment horizontal="center" vertical="center"/>
    </xf>
    <xf numFmtId="0" fontId="28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30" fillId="0" borderId="0" xfId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1" fontId="31" fillId="295" borderId="0" xfId="2" applyNumberFormat="1" applyFont="1" applyFill="1" applyAlignment="1">
      <alignment horizontal="center" vertical="center"/>
    </xf>
    <xf numFmtId="0" fontId="118" fillId="296" borderId="0" xfId="2" applyFont="1" applyFill="1" applyAlignment="1">
      <alignment horizontal="left" vertical="center"/>
    </xf>
    <xf numFmtId="0" fontId="119" fillId="7" borderId="8" xfId="5" applyFont="1" applyFill="1" applyBorder="1" applyAlignment="1">
      <alignment horizontal="center" vertical="center"/>
    </xf>
    <xf numFmtId="168" fontId="120" fillId="3" borderId="10" xfId="2" applyNumberFormat="1" applyFont="1" applyFill="1" applyBorder="1" applyAlignment="1">
      <alignment horizontal="center" vertical="center"/>
    </xf>
    <xf numFmtId="0" fontId="121" fillId="32" borderId="10" xfId="8" applyFont="1" applyFill="1" applyBorder="1" applyAlignment="1">
      <alignment horizontal="center" vertical="center"/>
    </xf>
    <xf numFmtId="0" fontId="119" fillId="10" borderId="8" xfId="5" applyFont="1" applyFill="1" applyBorder="1" applyAlignment="1">
      <alignment horizontal="center" vertical="center"/>
    </xf>
    <xf numFmtId="0" fontId="17" fillId="5" borderId="0" xfId="11" applyFont="1" applyFill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1" fontId="71" fillId="16" borderId="0" xfId="2" applyNumberFormat="1" applyFont="1" applyFill="1" applyAlignment="1" applyProtection="1">
      <alignment horizontal="center" vertical="center"/>
      <protection hidden="1"/>
    </xf>
    <xf numFmtId="0" fontId="74" fillId="65" borderId="16" xfId="2" applyFont="1" applyFill="1" applyBorder="1" applyAlignment="1" applyProtection="1">
      <alignment horizontal="center" vertical="center" wrapText="1"/>
      <protection hidden="1"/>
    </xf>
    <xf numFmtId="0" fontId="74" fillId="65" borderId="19" xfId="2" applyFont="1" applyFill="1" applyBorder="1" applyAlignment="1" applyProtection="1">
      <alignment horizontal="center" vertical="center" wrapText="1"/>
      <protection hidden="1"/>
    </xf>
    <xf numFmtId="0" fontId="76" fillId="65" borderId="18" xfId="2" applyFont="1" applyFill="1" applyBorder="1" applyAlignment="1" applyProtection="1">
      <alignment horizontal="center" vertical="center" wrapText="1"/>
      <protection hidden="1"/>
    </xf>
    <xf numFmtId="0" fontId="76" fillId="65" borderId="21" xfId="2" applyFont="1" applyFill="1" applyBorder="1" applyAlignment="1" applyProtection="1">
      <alignment horizontal="center" vertical="center" wrapText="1"/>
      <protection hidden="1"/>
    </xf>
    <xf numFmtId="1" fontId="68" fillId="16" borderId="0" xfId="2" applyNumberFormat="1" applyFont="1" applyFill="1" applyAlignment="1" applyProtection="1">
      <alignment horizontal="center" vertical="center" wrapText="1"/>
      <protection hidden="1"/>
    </xf>
    <xf numFmtId="1" fontId="71" fillId="16" borderId="0" xfId="2" applyNumberFormat="1" applyFont="1" applyFill="1" applyAlignment="1" applyProtection="1">
      <alignment horizontal="center" vertical="center" wrapText="1"/>
      <protection hidden="1"/>
    </xf>
    <xf numFmtId="0" fontId="15" fillId="6" borderId="0" xfId="5" applyFill="1" applyAlignment="1">
      <alignment horizontal="left" vertical="center"/>
    </xf>
    <xf numFmtId="0" fontId="44" fillId="6" borderId="0" xfId="5" applyFont="1" applyFill="1" applyAlignment="1">
      <alignment horizontal="center" vertical="center" wrapText="1"/>
    </xf>
    <xf numFmtId="0" fontId="15" fillId="6" borderId="0" xfId="5" applyFill="1" applyAlignment="1">
      <alignment horizontal="center" vertical="center"/>
    </xf>
    <xf numFmtId="0" fontId="15" fillId="6" borderId="0" xfId="5" applyFill="1" applyAlignment="1">
      <alignment horizontal="left" vertical="center" wrapText="1"/>
    </xf>
    <xf numFmtId="0" fontId="44" fillId="6" borderId="0" xfId="5" applyFont="1" applyFill="1" applyAlignment="1">
      <alignment horizontal="center" vertical="center"/>
    </xf>
    <xf numFmtId="0" fontId="7" fillId="6" borderId="0" xfId="1" applyFont="1" applyFill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28" fillId="5" borderId="0" xfId="1" applyFont="1" applyFill="1" applyAlignment="1">
      <alignment horizontal="center" vertical="center"/>
    </xf>
    <xf numFmtId="0" fontId="29" fillId="13" borderId="0" xfId="1" applyFont="1" applyFill="1" applyAlignment="1">
      <alignment horizontal="center" vertical="center"/>
    </xf>
    <xf numFmtId="0" fontId="5" fillId="5" borderId="0" xfId="1" applyFill="1" applyAlignment="1">
      <alignment horizontal="center" vertical="center"/>
    </xf>
    <xf numFmtId="0" fontId="5" fillId="5" borderId="6" xfId="1" applyFill="1" applyBorder="1" applyAlignment="1">
      <alignment horizontal="center" vertical="center"/>
    </xf>
    <xf numFmtId="0" fontId="8" fillId="27" borderId="0" xfId="1" applyFont="1" applyFill="1" applyAlignment="1">
      <alignment horizontal="left" vertical="center" wrapText="1"/>
    </xf>
    <xf numFmtId="0" fontId="29" fillId="0" borderId="0" xfId="1" applyFont="1" applyAlignment="1">
      <alignment horizontal="center" vertical="center"/>
    </xf>
    <xf numFmtId="0" fontId="29" fillId="8" borderId="0" xfId="1" applyFont="1" applyFill="1" applyAlignment="1">
      <alignment horizontal="center" vertical="center"/>
    </xf>
    <xf numFmtId="0" fontId="6" fillId="5" borderId="0" xfId="1" applyFont="1" applyFill="1" applyAlignment="1">
      <alignment horizontal="center" vertical="center"/>
    </xf>
    <xf numFmtId="0" fontId="17" fillId="5" borderId="0" xfId="1" applyFont="1" applyFill="1" applyAlignment="1">
      <alignment horizontal="center" vertical="center" wrapText="1"/>
    </xf>
    <xf numFmtId="0" fontId="96" fillId="97" borderId="0" xfId="1" applyFont="1" applyFill="1" applyAlignment="1">
      <alignment horizontal="center" vertical="center"/>
    </xf>
    <xf numFmtId="0" fontId="17" fillId="5" borderId="0" xfId="1" applyFont="1" applyFill="1" applyAlignment="1">
      <alignment horizontal="center" vertical="center"/>
    </xf>
    <xf numFmtId="0" fontId="17" fillId="84" borderId="0" xfId="7" applyFont="1" applyFill="1" applyAlignment="1">
      <alignment horizontal="center" vertical="center" wrapText="1"/>
    </xf>
    <xf numFmtId="0" fontId="82" fillId="84" borderId="0" xfId="7" applyFont="1" applyFill="1" applyAlignment="1">
      <alignment horizontal="center" vertical="center" wrapText="1"/>
    </xf>
    <xf numFmtId="0" fontId="17" fillId="87" borderId="0" xfId="7" applyFont="1" applyFill="1" applyAlignment="1">
      <alignment horizontal="center" vertical="center" wrapText="1"/>
    </xf>
    <xf numFmtId="0" fontId="18" fillId="88" borderId="0" xfId="7" applyFont="1" applyFill="1" applyAlignment="1">
      <alignment horizontal="center" vertical="center" wrapText="1"/>
    </xf>
    <xf numFmtId="0" fontId="117" fillId="83" borderId="0" xfId="7" applyFont="1" applyFill="1" applyAlignment="1">
      <alignment horizontal="center" vertical="center"/>
    </xf>
    <xf numFmtId="0" fontId="109" fillId="204" borderId="42" xfId="0" applyFont="1" applyFill="1" applyBorder="1" applyAlignment="1">
      <alignment horizontal="left" vertical="center" wrapText="1"/>
    </xf>
    <xf numFmtId="0" fontId="109" fillId="93" borderId="42" xfId="0" applyFont="1" applyFill="1" applyBorder="1" applyAlignment="1">
      <alignment horizontal="left" vertical="center" wrapText="1"/>
    </xf>
    <xf numFmtId="0" fontId="115" fillId="223" borderId="42" xfId="0" applyFont="1" applyFill="1" applyBorder="1" applyAlignment="1">
      <alignment horizontal="left" vertical="top" wrapText="1"/>
    </xf>
    <xf numFmtId="0" fontId="112" fillId="173" borderId="42" xfId="0" applyFont="1" applyFill="1" applyBorder="1" applyAlignment="1">
      <alignment horizontal="left" vertical="center"/>
    </xf>
    <xf numFmtId="0" fontId="114" fillId="209" borderId="42" xfId="0" applyFont="1" applyFill="1" applyBorder="1" applyAlignment="1">
      <alignment horizontal="center" vertical="center"/>
    </xf>
    <xf numFmtId="0" fontId="109" fillId="203" borderId="42" xfId="0" applyFont="1" applyFill="1" applyBorder="1" applyAlignment="1">
      <alignment horizontal="left" vertical="center" wrapText="1"/>
    </xf>
    <xf numFmtId="0" fontId="6" fillId="183" borderId="0" xfId="0" applyFont="1" applyFill="1" applyAlignment="1">
      <alignment horizontal="center" vertical="center"/>
    </xf>
    <xf numFmtId="0" fontId="107" fillId="93" borderId="41" xfId="0" applyFont="1" applyFill="1" applyBorder="1" applyAlignment="1">
      <alignment horizontal="center" vertical="center" wrapText="1"/>
    </xf>
    <xf numFmtId="0" fontId="18" fillId="194" borderId="43" xfId="0" applyFont="1" applyFill="1" applyBorder="1" applyAlignment="1">
      <alignment horizontal="left" vertical="center"/>
    </xf>
    <xf numFmtId="0" fontId="115" fillId="222" borderId="42" xfId="0" applyFont="1" applyFill="1" applyBorder="1" applyAlignment="1">
      <alignment horizontal="left" vertical="top" wrapText="1"/>
    </xf>
    <xf numFmtId="0" fontId="112" fillId="170" borderId="42" xfId="0" applyFont="1" applyFill="1" applyBorder="1" applyAlignment="1">
      <alignment horizontal="left" vertical="center"/>
    </xf>
    <xf numFmtId="0" fontId="114" fillId="264" borderId="42" xfId="0" applyFont="1" applyFill="1" applyBorder="1" applyAlignment="1">
      <alignment horizontal="center" vertical="center"/>
    </xf>
    <xf numFmtId="0" fontId="109" fillId="202" borderId="42" xfId="0" applyFont="1" applyFill="1" applyBorder="1" applyAlignment="1">
      <alignment horizontal="left" vertical="center" wrapText="1"/>
    </xf>
    <xf numFmtId="0" fontId="6" fillId="182" borderId="0" xfId="0" applyFont="1" applyFill="1" applyAlignment="1">
      <alignment horizontal="center" vertical="center"/>
    </xf>
    <xf numFmtId="0" fontId="18" fillId="193" borderId="43" xfId="0" applyFont="1" applyFill="1" applyBorder="1" applyAlignment="1">
      <alignment horizontal="left" vertical="center"/>
    </xf>
    <xf numFmtId="0" fontId="115" fillId="221" borderId="42" xfId="0" applyFont="1" applyFill="1" applyBorder="1" applyAlignment="1">
      <alignment horizontal="left" vertical="top" wrapText="1"/>
    </xf>
    <xf numFmtId="0" fontId="112" fillId="172" borderId="42" xfId="0" applyFont="1" applyFill="1" applyBorder="1" applyAlignment="1">
      <alignment horizontal="left" vertical="center"/>
    </xf>
    <xf numFmtId="0" fontId="114" fillId="273" borderId="42" xfId="0" applyFont="1" applyFill="1" applyBorder="1" applyAlignment="1">
      <alignment horizontal="center" vertical="center"/>
    </xf>
    <xf numFmtId="0" fontId="109" fillId="201" borderId="42" xfId="0" applyFont="1" applyFill="1" applyBorder="1" applyAlignment="1">
      <alignment horizontal="left" vertical="center" wrapText="1"/>
    </xf>
    <xf numFmtId="0" fontId="6" fillId="181" borderId="0" xfId="0" applyFont="1" applyFill="1" applyAlignment="1">
      <alignment horizontal="center" vertical="center"/>
    </xf>
    <xf numFmtId="0" fontId="18" fillId="192" borderId="43" xfId="0" applyFont="1" applyFill="1" applyBorder="1" applyAlignment="1">
      <alignment horizontal="left" vertical="center"/>
    </xf>
    <xf numFmtId="0" fontId="115" fillId="220" borderId="42" xfId="0" applyFont="1" applyFill="1" applyBorder="1" applyAlignment="1">
      <alignment horizontal="left" vertical="top" wrapText="1"/>
    </xf>
    <xf numFmtId="0" fontId="112" fillId="171" borderId="42" xfId="0" applyFont="1" applyFill="1" applyBorder="1" applyAlignment="1">
      <alignment horizontal="left" vertical="center"/>
    </xf>
    <xf numFmtId="0" fontId="114" fillId="268" borderId="42" xfId="0" applyFont="1" applyFill="1" applyBorder="1" applyAlignment="1">
      <alignment horizontal="center" vertical="center"/>
    </xf>
    <xf numFmtId="0" fontId="109" fillId="200" borderId="42" xfId="0" applyFont="1" applyFill="1" applyBorder="1" applyAlignment="1">
      <alignment horizontal="left" vertical="center" wrapText="1"/>
    </xf>
    <xf numFmtId="0" fontId="6" fillId="180" borderId="0" xfId="0" applyFont="1" applyFill="1" applyAlignment="1">
      <alignment horizontal="center" vertical="center"/>
    </xf>
    <xf numFmtId="0" fontId="18" fillId="191" borderId="43" xfId="0" applyFont="1" applyFill="1" applyBorder="1" applyAlignment="1">
      <alignment horizontal="left" vertical="center"/>
    </xf>
    <xf numFmtId="0" fontId="115" fillId="219" borderId="42" xfId="0" applyFont="1" applyFill="1" applyBorder="1" applyAlignment="1">
      <alignment horizontal="left" vertical="top" wrapText="1"/>
    </xf>
    <xf numFmtId="0" fontId="109" fillId="199" borderId="42" xfId="0" applyFont="1" applyFill="1" applyBorder="1" applyAlignment="1">
      <alignment horizontal="left" vertical="center" wrapText="1"/>
    </xf>
    <xf numFmtId="0" fontId="6" fillId="179" borderId="0" xfId="0" applyFont="1" applyFill="1" applyAlignment="1">
      <alignment horizontal="center" vertical="center"/>
    </xf>
    <xf numFmtId="0" fontId="18" fillId="190" borderId="43" xfId="0" applyFont="1" applyFill="1" applyBorder="1" applyAlignment="1">
      <alignment horizontal="left" vertical="center"/>
    </xf>
    <xf numFmtId="0" fontId="115" fillId="218" borderId="42" xfId="0" applyFont="1" applyFill="1" applyBorder="1" applyAlignment="1">
      <alignment horizontal="left" vertical="top" wrapText="1"/>
    </xf>
    <xf numFmtId="0" fontId="112" fillId="169" borderId="42" xfId="0" applyFont="1" applyFill="1" applyBorder="1" applyAlignment="1">
      <alignment horizontal="left" vertical="center"/>
    </xf>
    <xf numFmtId="0" fontId="114" fillId="260" borderId="42" xfId="0" applyFont="1" applyFill="1" applyBorder="1" applyAlignment="1">
      <alignment horizontal="center" vertical="center"/>
    </xf>
    <xf numFmtId="0" fontId="109" fillId="198" borderId="42" xfId="0" applyFont="1" applyFill="1" applyBorder="1" applyAlignment="1">
      <alignment horizontal="left" vertical="center" wrapText="1"/>
    </xf>
    <xf numFmtId="0" fontId="6" fillId="178" borderId="0" xfId="0" applyFont="1" applyFill="1" applyAlignment="1">
      <alignment horizontal="center" vertical="center"/>
    </xf>
    <xf numFmtId="0" fontId="18" fillId="189" borderId="43" xfId="0" applyFont="1" applyFill="1" applyBorder="1" applyAlignment="1">
      <alignment horizontal="left" vertical="center"/>
    </xf>
    <xf numFmtId="0" fontId="115" fillId="217" borderId="42" xfId="0" applyFont="1" applyFill="1" applyBorder="1" applyAlignment="1">
      <alignment horizontal="left" vertical="top" wrapText="1"/>
    </xf>
    <xf numFmtId="0" fontId="112" fillId="168" borderId="42" xfId="0" applyFont="1" applyFill="1" applyBorder="1" applyAlignment="1">
      <alignment horizontal="left" vertical="center"/>
    </xf>
    <xf numFmtId="0" fontId="114" fillId="256" borderId="42" xfId="0" applyFont="1" applyFill="1" applyBorder="1" applyAlignment="1">
      <alignment horizontal="center" vertical="center"/>
    </xf>
    <xf numFmtId="0" fontId="109" fillId="197" borderId="42" xfId="0" applyFont="1" applyFill="1" applyBorder="1" applyAlignment="1">
      <alignment horizontal="left" vertical="center" wrapText="1"/>
    </xf>
    <xf numFmtId="0" fontId="6" fillId="177" borderId="0" xfId="0" applyFont="1" applyFill="1" applyAlignment="1">
      <alignment horizontal="center" vertical="center"/>
    </xf>
    <xf numFmtId="0" fontId="18" fillId="188" borderId="43" xfId="0" applyFont="1" applyFill="1" applyBorder="1" applyAlignment="1">
      <alignment horizontal="left" vertical="center"/>
    </xf>
    <xf numFmtId="0" fontId="115" fillId="216" borderId="42" xfId="0" applyFont="1" applyFill="1" applyBorder="1" applyAlignment="1">
      <alignment horizontal="left" vertical="top" wrapText="1"/>
    </xf>
    <xf numFmtId="0" fontId="112" fillId="167" borderId="42" xfId="0" applyFont="1" applyFill="1" applyBorder="1" applyAlignment="1">
      <alignment horizontal="left" vertical="center"/>
    </xf>
    <xf numFmtId="0" fontId="114" fillId="252" borderId="42" xfId="0" applyFont="1" applyFill="1" applyBorder="1" applyAlignment="1">
      <alignment horizontal="center" vertical="center"/>
    </xf>
    <xf numFmtId="0" fontId="109" fillId="196" borderId="42" xfId="0" applyFont="1" applyFill="1" applyBorder="1" applyAlignment="1">
      <alignment horizontal="left" vertical="center" wrapText="1"/>
    </xf>
    <xf numFmtId="0" fontId="6" fillId="176" borderId="0" xfId="0" applyFont="1" applyFill="1" applyAlignment="1">
      <alignment horizontal="center" vertical="center"/>
    </xf>
    <xf numFmtId="0" fontId="18" fillId="187" borderId="43" xfId="0" applyFont="1" applyFill="1" applyBorder="1" applyAlignment="1">
      <alignment horizontal="left" vertical="center"/>
    </xf>
    <xf numFmtId="0" fontId="115" fillId="215" borderId="42" xfId="0" applyFont="1" applyFill="1" applyBorder="1" applyAlignment="1">
      <alignment horizontal="left" vertical="top" wrapText="1"/>
    </xf>
    <xf numFmtId="0" fontId="112" fillId="166" borderId="42" xfId="0" applyFont="1" applyFill="1" applyBorder="1" applyAlignment="1">
      <alignment horizontal="left" vertical="center"/>
    </xf>
    <xf numFmtId="0" fontId="114" fillId="244" borderId="42" xfId="0" applyFont="1" applyFill="1" applyBorder="1" applyAlignment="1">
      <alignment horizontal="center" vertical="center"/>
    </xf>
    <xf numFmtId="0" fontId="107" fillId="93" borderId="0" xfId="0" applyFont="1" applyFill="1" applyAlignment="1">
      <alignment horizontal="center" vertical="center" wrapText="1"/>
    </xf>
    <xf numFmtId="0" fontId="6" fillId="175" borderId="0" xfId="0" applyFont="1" applyFill="1" applyAlignment="1">
      <alignment horizontal="center" vertical="center"/>
    </xf>
    <xf numFmtId="0" fontId="18" fillId="186" borderId="43" xfId="0" applyFont="1" applyFill="1" applyBorder="1" applyAlignment="1">
      <alignment horizontal="left" vertical="center"/>
    </xf>
    <xf numFmtId="0" fontId="106" fillId="164" borderId="0" xfId="0" applyFont="1" applyFill="1" applyAlignment="1">
      <alignment horizontal="center" vertical="center"/>
    </xf>
    <xf numFmtId="0" fontId="6" fillId="164" borderId="0" xfId="0" applyFont="1" applyFill="1" applyAlignment="1">
      <alignment horizontal="center" vertical="center"/>
    </xf>
    <xf numFmtId="0" fontId="8" fillId="40" borderId="0" xfId="11" applyFont="1" applyFill="1" applyAlignment="1">
      <alignment vertical="center" wrapText="1"/>
    </xf>
    <xf numFmtId="0" fontId="8" fillId="27" borderId="0" xfId="11" applyFont="1" applyFill="1" applyAlignment="1">
      <alignment vertical="center" wrapText="1"/>
    </xf>
    <xf numFmtId="0" fontId="8" fillId="10" borderId="0" xfId="11" applyFont="1" applyFill="1" applyAlignment="1">
      <alignment vertical="center" wrapText="1"/>
    </xf>
    <xf numFmtId="0" fontId="21" fillId="13" borderId="0" xfId="1" applyFont="1" applyFill="1" applyAlignment="1">
      <alignment horizontal="right" vertical="center"/>
    </xf>
    <xf numFmtId="0" fontId="30" fillId="13" borderId="0" xfId="1" applyFont="1" applyFill="1" applyAlignment="1">
      <alignment horizontal="center" vertical="center"/>
    </xf>
    <xf numFmtId="0" fontId="30" fillId="13" borderId="45" xfId="1" applyFont="1" applyFill="1" applyBorder="1" applyAlignment="1">
      <alignment horizontal="center" vertical="center"/>
    </xf>
    <xf numFmtId="0" fontId="30" fillId="31" borderId="45" xfId="1" applyFont="1" applyFill="1" applyBorder="1" applyAlignment="1">
      <alignment horizontal="center" vertical="center"/>
    </xf>
    <xf numFmtId="0" fontId="30" fillId="13" borderId="46" xfId="1" applyFont="1" applyFill="1" applyBorder="1" applyAlignment="1">
      <alignment horizontal="center" vertical="center"/>
    </xf>
    <xf numFmtId="0" fontId="30" fillId="35" borderId="46" xfId="1" applyFont="1" applyFill="1" applyBorder="1" applyAlignment="1">
      <alignment horizontal="center" vertical="center"/>
    </xf>
    <xf numFmtId="0" fontId="30" fillId="31" borderId="46" xfId="1" applyFont="1" applyFill="1" applyBorder="1" applyAlignment="1">
      <alignment horizontal="center" vertical="center"/>
    </xf>
    <xf numFmtId="0" fontId="30" fillId="13" borderId="5" xfId="1" applyFont="1" applyFill="1" applyBorder="1" applyAlignment="1">
      <alignment horizontal="center" vertical="center"/>
    </xf>
    <xf numFmtId="0" fontId="30" fillId="35" borderId="5" xfId="1" applyFont="1" applyFill="1" applyBorder="1" applyAlignment="1">
      <alignment horizontal="center" vertical="center"/>
    </xf>
    <xf numFmtId="0" fontId="30" fillId="31" borderId="5" xfId="1" applyFont="1" applyFill="1" applyBorder="1" applyAlignment="1">
      <alignment horizontal="center" vertical="center"/>
    </xf>
    <xf numFmtId="0" fontId="30" fillId="13" borderId="0" xfId="1" applyFont="1" applyFill="1" applyBorder="1" applyAlignment="1">
      <alignment horizontal="center" vertical="center"/>
    </xf>
    <xf numFmtId="0" fontId="30" fillId="35" borderId="0" xfId="1" applyFont="1" applyFill="1" applyBorder="1" applyAlignment="1">
      <alignment horizontal="center" vertical="center"/>
    </xf>
    <xf numFmtId="0" fontId="30" fillId="31" borderId="0" xfId="1" applyFont="1" applyFill="1" applyBorder="1" applyAlignment="1">
      <alignment horizontal="center" vertical="center"/>
    </xf>
    <xf numFmtId="164" fontId="123" fillId="13" borderId="0" xfId="5" applyNumberFormat="1" applyFont="1" applyFill="1" applyAlignment="1">
      <alignment horizontal="center" vertical="center"/>
    </xf>
    <xf numFmtId="0" fontId="124" fillId="13" borderId="0" xfId="1" applyFont="1" applyFill="1" applyAlignment="1">
      <alignment horizontal="center" vertical="center"/>
    </xf>
    <xf numFmtId="0" fontId="30" fillId="35" borderId="0" xfId="1" applyFont="1" applyFill="1" applyAlignment="1">
      <alignment horizontal="right" vertical="center"/>
    </xf>
    <xf numFmtId="0" fontId="54" fillId="31" borderId="0" xfId="1" applyFont="1" applyFill="1" applyAlignment="1">
      <alignment vertical="center"/>
    </xf>
    <xf numFmtId="0" fontId="125" fillId="35" borderId="0" xfId="1" applyFont="1" applyFill="1" applyAlignment="1">
      <alignment horizontal="center" vertical="center"/>
    </xf>
    <xf numFmtId="0" fontId="126" fillId="31" borderId="0" xfId="1" applyFont="1" applyFill="1" applyAlignment="1">
      <alignment horizontal="center" vertical="center"/>
    </xf>
    <xf numFmtId="0" fontId="54" fillId="35" borderId="0" xfId="1" applyFont="1" applyFill="1" applyAlignment="1">
      <alignment vertical="center"/>
    </xf>
    <xf numFmtId="0" fontId="30" fillId="13" borderId="0" xfId="1" applyFont="1" applyFill="1" applyAlignment="1">
      <alignment horizontal="right" vertical="center"/>
    </xf>
    <xf numFmtId="0" fontId="30" fillId="27" borderId="2" xfId="1" applyFont="1" applyFill="1" applyBorder="1" applyAlignment="1">
      <alignment horizontal="right" vertical="center"/>
    </xf>
    <xf numFmtId="0" fontId="30" fillId="27" borderId="3" xfId="1" applyFont="1" applyFill="1" applyBorder="1" applyAlignment="1">
      <alignment vertical="center"/>
    </xf>
    <xf numFmtId="0" fontId="30" fillId="27" borderId="4" xfId="1" applyFont="1" applyFill="1" applyBorder="1" applyAlignment="1">
      <alignment vertical="center"/>
    </xf>
    <xf numFmtId="165" fontId="122" fillId="50" borderId="45" xfId="2" applyNumberFormat="1" applyFont="1" applyFill="1" applyBorder="1" applyAlignment="1">
      <alignment horizontal="center" vertical="center"/>
    </xf>
    <xf numFmtId="165" fontId="122" fillId="51" borderId="45" xfId="2" applyNumberFormat="1" applyFont="1" applyFill="1" applyBorder="1" applyAlignment="1">
      <alignment horizontal="center" vertical="center"/>
    </xf>
    <xf numFmtId="0" fontId="39" fillId="13" borderId="5" xfId="1" applyFont="1" applyFill="1" applyBorder="1" applyAlignment="1">
      <alignment horizontal="center" vertical="center"/>
    </xf>
    <xf numFmtId="0" fontId="18" fillId="13" borderId="46" xfId="1" applyFont="1" applyFill="1" applyBorder="1" applyAlignment="1">
      <alignment horizontal="center" vertical="center"/>
    </xf>
    <xf numFmtId="0" fontId="18" fillId="13" borderId="5" xfId="1" applyFont="1" applyFill="1" applyBorder="1" applyAlignment="1">
      <alignment horizontal="center" vertical="center"/>
    </xf>
    <xf numFmtId="0" fontId="18" fillId="13" borderId="45" xfId="1" applyFont="1" applyFill="1" applyBorder="1" applyAlignment="1">
      <alignment horizontal="center" vertical="center"/>
    </xf>
    <xf numFmtId="0" fontId="30" fillId="13" borderId="0" xfId="1" applyFont="1" applyFill="1" applyAlignment="1">
      <alignment horizontal="center" vertical="center"/>
    </xf>
    <xf numFmtId="0" fontId="127" fillId="13" borderId="0" xfId="1" applyFont="1" applyFill="1" applyAlignment="1">
      <alignment horizontal="left" vertical="center"/>
    </xf>
    <xf numFmtId="0" fontId="127" fillId="13" borderId="0" xfId="1" applyFont="1" applyFill="1" applyAlignment="1">
      <alignment horizontal="center" vertical="center"/>
    </xf>
  </cellXfs>
  <cellStyles count="25">
    <cellStyle name="Hyperlink" xfId="24" xr:uid="{0796D339-3371-497C-8B5D-291426438EC4}"/>
    <cellStyle name="Lien hypertexte 2" xfId="10" xr:uid="{2951B046-6840-4CF6-946D-75BF4E876426}"/>
    <cellStyle name="Normal" xfId="0" builtinId="0"/>
    <cellStyle name="Normal 10 2 2 2 2 3 2 3 2 2 4 2" xfId="13" xr:uid="{4DA2FCB4-7AAB-4399-9733-1B1E3FFA4DAE}"/>
    <cellStyle name="Normal 10 2 2 2 2 3 2 3 2 2 4 2 2" xfId="21" xr:uid="{3B8F29FA-B3A1-4ECE-94CB-43DFA76A2A71}"/>
    <cellStyle name="Normal 10 2 2 2 2 3 2 3 2 2 4 2 5 2 2" xfId="5" xr:uid="{26B7682D-D7BB-4EB9-BEAA-E2F14ED17E84}"/>
    <cellStyle name="Normal 11 2 3 2 3 2 2 4 2" xfId="14" xr:uid="{FAAAA232-379F-4AD4-9DEE-CF95AC1B0FD7}"/>
    <cellStyle name="Normal 12 2" xfId="4" xr:uid="{276F7620-1A9B-4A5A-8494-71D20079E31B}"/>
    <cellStyle name="Normal 2" xfId="1" xr:uid="{F9429365-63BF-4BF2-805D-5BAF07B5B853}"/>
    <cellStyle name="Normal 2 2 2 2 2 2 2 2" xfId="2" xr:uid="{67949D84-80DF-45CF-A9A0-4CDC18A5018A}"/>
    <cellStyle name="Normal 2 2 2 2 2 3 2" xfId="7" xr:uid="{28947A63-C28E-49DC-9959-10910A1BB838}"/>
    <cellStyle name="Normal 2 2 4" xfId="15" xr:uid="{19C36945-AE6D-4F59-A92A-E1688CDD489D}"/>
    <cellStyle name="Normal 2 2 5" xfId="20" xr:uid="{F9E5C052-6148-4D98-986F-246D03119F8F}"/>
    <cellStyle name="Normal 2 2 5 2" xfId="23" xr:uid="{E74C6556-4C41-4C69-BF80-5AE4820907E2}"/>
    <cellStyle name="Normal 2 3" xfId="17" xr:uid="{2B09A6C2-A527-4E86-91FA-7C971383404E}"/>
    <cellStyle name="Normal 2 4 2 2 2" xfId="8" xr:uid="{E696883C-4369-4611-86DD-B1CB533171DD}"/>
    <cellStyle name="Normal 3" xfId="3" xr:uid="{D04913DA-9E91-4B2D-A70A-7E94B27AA148}"/>
    <cellStyle name="Normal 3 2" xfId="11" xr:uid="{BD98F657-56B3-4DDC-B95B-1DE0FCBC085C}"/>
    <cellStyle name="Normal 4 2 2 2 2 2 2 2 3 3 2" xfId="16" xr:uid="{C638BCD0-8177-4B25-B22C-987545899DB8}"/>
    <cellStyle name="Normal 4 2 2 2 2 2 2 6 2 2 3 2 3 3 2 2 4 2" xfId="19" xr:uid="{918701F1-E170-475F-8B55-44D882D31368}"/>
    <cellStyle name="Normal 4 2 4 2 2 4 2 2 2 2 3 2" xfId="18" xr:uid="{07D89F94-C477-4A8B-9C82-FA008D5564E3}"/>
    <cellStyle name="Normal 4 3 4 2 2 2" xfId="12" xr:uid="{AD6A5151-2DD8-456F-BDF5-58B41F43B9B6}"/>
    <cellStyle name="Normal_Bases Cuisine 2" xfId="6" xr:uid="{5A92D9E4-A7BB-435C-BCB5-66B6FCD5A484}"/>
    <cellStyle name="Normal_Comparer recettes 2009 OK 2 2 2 2" xfId="22" xr:uid="{D8FA05F0-0D44-4AB7-AA74-B63442CFF986}"/>
    <cellStyle name="Normal_GERMCN UPC brouillon" xfId="9" xr:uid="{072AE9EB-F5BB-4D02-A2C3-5C68B8060759}"/>
  </cellStyles>
  <dxfs count="77">
    <dxf>
      <font>
        <b/>
        <color rgb="FF7F6000"/>
      </font>
      <fill>
        <patternFill>
          <bgColor rgb="FFF4B183"/>
        </patternFill>
      </fill>
    </dxf>
    <dxf>
      <font>
        <b/>
        <color rgb="FFFFFFFF"/>
      </font>
      <fill>
        <patternFill>
          <bgColor rgb="FFC00000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FCE5CD"/>
        </patternFill>
      </fill>
    </dxf>
    <dxf>
      <font>
        <b/>
      </font>
      <fill>
        <patternFill patternType="solid">
          <bgColor rgb="FFF4CCCC"/>
        </patternFill>
      </fill>
    </dxf>
    <dxf>
      <font>
        <b/>
      </font>
      <fill>
        <patternFill patternType="solid">
          <bgColor rgb="FFE6B8AF"/>
        </patternFill>
      </fill>
    </dxf>
    <dxf>
      <font>
        <b/>
      </font>
      <fill>
        <patternFill patternType="solid">
          <bgColor rgb="FFDDEBF7"/>
        </patternFill>
      </fill>
    </dxf>
    <dxf>
      <font>
        <b/>
      </font>
      <fill>
        <patternFill patternType="solid">
          <bgColor rgb="FFD0CECE"/>
        </patternFill>
      </fill>
    </dxf>
    <dxf>
      <font>
        <b/>
      </font>
      <fill>
        <patternFill patternType="solid">
          <bgColor rgb="FFD9E1F2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E6B8AF"/>
        </patternFill>
      </fill>
    </dxf>
    <dxf>
      <font>
        <b/>
      </font>
      <fill>
        <patternFill patternType="solid">
          <bgColor rgb="FFD9C2AD"/>
        </patternFill>
      </fill>
    </dxf>
    <dxf>
      <font>
        <b/>
      </font>
      <fill>
        <patternFill patternType="solid">
          <bgColor rgb="FFF4B183"/>
        </patternFill>
      </fill>
    </dxf>
    <dxf>
      <font>
        <b/>
      </font>
      <fill>
        <patternFill patternType="solid">
          <bgColor rgb="FFFBE5D6"/>
        </patternFill>
      </fill>
    </dxf>
    <dxf>
      <font>
        <b/>
      </font>
      <fill>
        <patternFill patternType="solid">
          <bgColor rgb="FFE4DFEC"/>
        </patternFill>
      </fill>
    </dxf>
    <dxf>
      <font>
        <b/>
      </font>
      <fill>
        <patternFill patternType="solid">
          <bgColor rgb="FFE4DFEC"/>
        </patternFill>
      </fill>
    </dxf>
    <dxf>
      <font>
        <b/>
      </font>
      <fill>
        <patternFill patternType="solid">
          <bgColor rgb="FFFCE4D6"/>
        </patternFill>
      </fill>
    </dxf>
    <dxf>
      <font>
        <b/>
      </font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E7E6E6"/>
        </patternFill>
      </fill>
    </dxf>
    <dxf>
      <font>
        <b/>
      </font>
      <fill>
        <patternFill patternType="solid">
          <bgColor rgb="FFF4CCCC"/>
        </patternFill>
      </fill>
    </dxf>
    <dxf>
      <fill>
        <patternFill>
          <bgColor rgb="FFEDEDED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DDEBF7"/>
        </patternFill>
      </fill>
    </dxf>
    <dxf>
      <fill>
        <patternFill>
          <bgColor rgb="FFE4DFEC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  <dxf>
      <fill>
        <patternFill>
          <bgColor rgb="FFEDEDED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DDEBF7"/>
        </patternFill>
      </fill>
    </dxf>
    <dxf>
      <fill>
        <patternFill>
          <bgColor rgb="FFE4DFEC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  <dxf>
      <fill>
        <patternFill>
          <bgColor rgb="FFEDEDED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DDEBF7"/>
        </patternFill>
      </fill>
    </dxf>
    <dxf>
      <fill>
        <patternFill>
          <bgColor rgb="FFE4DFEC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  <dxf>
      <fill>
        <patternFill>
          <bgColor rgb="FFEDEDED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DDEBF7"/>
        </patternFill>
      </fill>
    </dxf>
    <dxf>
      <fill>
        <patternFill>
          <bgColor rgb="FFE4DFEC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  <dxf>
      <fill>
        <patternFill>
          <bgColor rgb="FFEDEDED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DDEBF7"/>
        </patternFill>
      </fill>
    </dxf>
    <dxf>
      <fill>
        <patternFill>
          <bgColor rgb="FFE4DFEC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  <dxf>
      <fill>
        <patternFill>
          <bgColor rgb="FFEDEDED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DDEBF7"/>
        </patternFill>
      </fill>
    </dxf>
    <dxf>
      <fill>
        <patternFill>
          <bgColor rgb="FFE4DFEC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  <dxf>
      <fill>
        <patternFill>
          <bgColor rgb="FFEDEDED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DDEBF7"/>
        </patternFill>
      </fill>
    </dxf>
    <dxf>
      <fill>
        <patternFill>
          <bgColor rgb="FFE4DFEC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  <dxf>
      <fill>
        <patternFill>
          <bgColor rgb="FFEDEDED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DDEBF7"/>
        </patternFill>
      </fill>
    </dxf>
    <dxf>
      <fill>
        <patternFill>
          <bgColor rgb="FFE4DFEC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</dxfs>
  <tableStyles count="0" defaultTableStyle="TableStyleMedium2" defaultPivotStyle="PivotStyleLight16"/>
  <colors>
    <mruColors>
      <color rgb="FF98A1A6"/>
      <color rgb="FF616B71"/>
      <color rgb="FFB8C6A5"/>
      <color rgb="FFFCF4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D1BCE-AB82-41D9-ADEC-4BE8E42F4294}">
  <dimension ref="A1:E53"/>
  <sheetViews>
    <sheetView tabSelected="1" workbookViewId="0">
      <selection activeCell="G6" sqref="G6"/>
    </sheetView>
  </sheetViews>
  <sheetFormatPr baseColWidth="10" defaultColWidth="10.28515625" defaultRowHeight="15"/>
  <cols>
    <col min="1" max="1" width="22.85546875" style="111" customWidth="1"/>
    <col min="2" max="2" width="53.42578125" style="111" customWidth="1"/>
    <col min="3" max="3" width="58.5703125" style="111" customWidth="1"/>
    <col min="4" max="4" width="43.42578125" style="111" customWidth="1"/>
    <col min="5" max="5" width="52.5703125" style="111" customWidth="1"/>
    <col min="6" max="16384" width="10.28515625" style="111"/>
  </cols>
  <sheetData>
    <row r="1" spans="1:5" ht="50.1" customHeight="1">
      <c r="A1" s="110" t="s">
        <v>400</v>
      </c>
      <c r="B1" s="110"/>
      <c r="C1" s="110" t="s">
        <v>493</v>
      </c>
      <c r="D1" s="110"/>
      <c r="E1" s="110"/>
    </row>
    <row r="2" spans="1:5" ht="42" customHeight="1">
      <c r="A2" s="112" t="s">
        <v>401</v>
      </c>
      <c r="B2" s="113" t="s">
        <v>402</v>
      </c>
      <c r="C2" s="113"/>
      <c r="D2" s="113"/>
      <c r="E2" s="113"/>
    </row>
    <row r="3" spans="1:5" ht="15.75">
      <c r="A3" s="114"/>
      <c r="B3" s="114"/>
      <c r="C3" s="114"/>
      <c r="D3" s="114"/>
      <c r="E3" s="114"/>
    </row>
    <row r="4" spans="1:5" ht="26.25" customHeight="1">
      <c r="A4" s="735" t="s">
        <v>403</v>
      </c>
      <c r="B4" s="735"/>
      <c r="C4" s="735"/>
      <c r="D4" s="735"/>
      <c r="E4" s="735"/>
    </row>
    <row r="5" spans="1:5" ht="39.950000000000003" customHeight="1">
      <c r="A5" s="115" t="s">
        <v>404</v>
      </c>
      <c r="B5" s="116" t="s">
        <v>405</v>
      </c>
      <c r="C5" s="117"/>
      <c r="D5" s="117"/>
      <c r="E5" s="117"/>
    </row>
    <row r="6" spans="1:5" ht="39.950000000000003" customHeight="1">
      <c r="A6" s="115" t="s">
        <v>406</v>
      </c>
      <c r="B6" s="116" t="s">
        <v>407</v>
      </c>
      <c r="C6" s="117"/>
      <c r="D6" s="117"/>
      <c r="E6" s="117"/>
    </row>
    <row r="7" spans="1:5" ht="39.950000000000003" customHeight="1">
      <c r="A7" s="115" t="s">
        <v>3</v>
      </c>
      <c r="B7" s="116" t="s">
        <v>408</v>
      </c>
      <c r="C7" s="117"/>
      <c r="D7" s="117"/>
      <c r="E7" s="117"/>
    </row>
    <row r="8" spans="1:5" ht="15.75">
      <c r="A8" s="114"/>
      <c r="B8" s="114"/>
      <c r="C8" s="114"/>
      <c r="D8" s="114"/>
      <c r="E8" s="114"/>
    </row>
    <row r="9" spans="1:5" ht="26.25" customHeight="1">
      <c r="A9" s="735" t="s">
        <v>409</v>
      </c>
      <c r="B9" s="735"/>
      <c r="C9" s="735"/>
      <c r="D9" s="735"/>
      <c r="E9" s="735"/>
    </row>
    <row r="10" spans="1:5" ht="45" customHeight="1">
      <c r="A10" s="118" t="s">
        <v>410</v>
      </c>
      <c r="B10" s="119" t="s">
        <v>411</v>
      </c>
      <c r="C10" s="119" t="s">
        <v>412</v>
      </c>
      <c r="D10" s="119" t="s">
        <v>413</v>
      </c>
      <c r="E10" s="120" t="s">
        <v>414</v>
      </c>
    </row>
    <row r="11" spans="1:5" ht="45" customHeight="1">
      <c r="A11" s="121" t="s">
        <v>494</v>
      </c>
      <c r="B11" s="122" t="s">
        <v>495</v>
      </c>
      <c r="C11" s="828" t="s">
        <v>496</v>
      </c>
      <c r="D11" s="123" t="s">
        <v>415</v>
      </c>
      <c r="E11" s="123" t="s">
        <v>497</v>
      </c>
    </row>
    <row r="12" spans="1:5" ht="45" customHeight="1">
      <c r="A12" s="124" t="s">
        <v>416</v>
      </c>
      <c r="B12" s="125" t="s">
        <v>498</v>
      </c>
      <c r="C12" s="126" t="s">
        <v>499</v>
      </c>
      <c r="D12" s="830" t="s">
        <v>417</v>
      </c>
      <c r="E12" s="126" t="s">
        <v>500</v>
      </c>
    </row>
    <row r="13" spans="1:5" ht="45" customHeight="1">
      <c r="A13" s="127" t="s">
        <v>153</v>
      </c>
      <c r="B13" s="128" t="s">
        <v>501</v>
      </c>
      <c r="C13" s="129" t="s">
        <v>418</v>
      </c>
      <c r="D13" s="129" t="s">
        <v>419</v>
      </c>
      <c r="E13" s="129" t="s">
        <v>420</v>
      </c>
    </row>
    <row r="14" spans="1:5" ht="45" customHeight="1">
      <c r="A14" s="130" t="s">
        <v>421</v>
      </c>
      <c r="B14" s="131" t="s">
        <v>502</v>
      </c>
      <c r="C14" s="829" t="s">
        <v>503</v>
      </c>
      <c r="D14" s="132" t="s">
        <v>422</v>
      </c>
      <c r="E14" s="132" t="s">
        <v>504</v>
      </c>
    </row>
    <row r="15" spans="1:5" ht="45" customHeight="1">
      <c r="A15" s="130" t="s">
        <v>505</v>
      </c>
      <c r="B15" s="131" t="s">
        <v>506</v>
      </c>
      <c r="C15" s="829" t="s">
        <v>507</v>
      </c>
      <c r="D15" s="132" t="s">
        <v>508</v>
      </c>
      <c r="E15" s="132" t="s">
        <v>509</v>
      </c>
    </row>
    <row r="16" spans="1:5" ht="15.75">
      <c r="A16" s="114"/>
      <c r="B16" s="114"/>
      <c r="C16" s="114"/>
      <c r="D16" s="114"/>
      <c r="E16" s="114"/>
    </row>
    <row r="17" spans="1:5" ht="26.25" customHeight="1">
      <c r="A17" s="735" t="s">
        <v>423</v>
      </c>
      <c r="B17" s="735"/>
      <c r="C17" s="735"/>
      <c r="D17" s="735"/>
      <c r="E17" s="735"/>
    </row>
    <row r="18" spans="1:5" ht="48" customHeight="1">
      <c r="A18" s="133" t="s">
        <v>259</v>
      </c>
      <c r="B18" s="134" t="s">
        <v>424</v>
      </c>
      <c r="C18" s="117" t="s">
        <v>425</v>
      </c>
      <c r="D18" s="117" t="s">
        <v>426</v>
      </c>
      <c r="E18" s="117"/>
    </row>
    <row r="19" spans="1:5" ht="48" customHeight="1">
      <c r="A19" s="133" t="s">
        <v>262</v>
      </c>
      <c r="B19" s="134" t="s">
        <v>427</v>
      </c>
      <c r="C19" s="117" t="s">
        <v>428</v>
      </c>
      <c r="D19" s="117" t="s">
        <v>429</v>
      </c>
      <c r="E19" s="117"/>
    </row>
    <row r="20" spans="1:5" ht="48" customHeight="1">
      <c r="A20" s="133" t="s">
        <v>430</v>
      </c>
      <c r="B20" s="134" t="s">
        <v>431</v>
      </c>
      <c r="C20" s="117" t="s">
        <v>432</v>
      </c>
      <c r="D20" s="117" t="s">
        <v>433</v>
      </c>
      <c r="E20" s="117"/>
    </row>
    <row r="21" spans="1:5" ht="48" customHeight="1">
      <c r="A21" s="133" t="s">
        <v>434</v>
      </c>
      <c r="B21" s="134" t="s">
        <v>435</v>
      </c>
      <c r="C21" s="117" t="s">
        <v>436</v>
      </c>
      <c r="D21" s="117" t="s">
        <v>437</v>
      </c>
      <c r="E21" s="117"/>
    </row>
    <row r="22" spans="1:5" ht="48" customHeight="1">
      <c r="A22" s="133" t="s">
        <v>438</v>
      </c>
      <c r="B22" s="134" t="s">
        <v>439</v>
      </c>
      <c r="C22" s="117" t="s">
        <v>440</v>
      </c>
      <c r="D22" s="117" t="s">
        <v>441</v>
      </c>
      <c r="E22" s="117"/>
    </row>
    <row r="23" spans="1:5" ht="48" customHeight="1">
      <c r="A23" s="133" t="s">
        <v>442</v>
      </c>
      <c r="B23" s="134" t="s">
        <v>443</v>
      </c>
      <c r="C23" s="117" t="s">
        <v>444</v>
      </c>
      <c r="D23" s="117" t="s">
        <v>445</v>
      </c>
      <c r="E23" s="117"/>
    </row>
    <row r="24" spans="1:5" ht="15.75">
      <c r="A24" s="114"/>
      <c r="B24" s="114"/>
      <c r="C24" s="114"/>
      <c r="D24" s="114"/>
      <c r="E24" s="114"/>
    </row>
    <row r="25" spans="1:5" ht="26.25" customHeight="1">
      <c r="A25" s="735" t="s">
        <v>446</v>
      </c>
      <c r="B25" s="735"/>
      <c r="C25" s="735"/>
      <c r="D25" s="735"/>
      <c r="E25" s="735"/>
    </row>
    <row r="26" spans="1:5" ht="51.95" customHeight="1">
      <c r="A26" s="119" t="s">
        <v>447</v>
      </c>
      <c r="B26" s="119" t="s">
        <v>448</v>
      </c>
      <c r="C26" s="119" t="s">
        <v>449</v>
      </c>
      <c r="D26" s="119" t="s">
        <v>450</v>
      </c>
      <c r="E26" s="119"/>
    </row>
    <row r="27" spans="1:5" ht="51.95" customHeight="1">
      <c r="A27" s="135" t="s">
        <v>259</v>
      </c>
      <c r="B27" s="136" t="s">
        <v>510</v>
      </c>
      <c r="C27" s="137" t="s">
        <v>511</v>
      </c>
      <c r="D27" s="117" t="s">
        <v>512</v>
      </c>
      <c r="E27" s="117"/>
    </row>
    <row r="28" spans="1:5" ht="51.95" customHeight="1">
      <c r="A28" s="135" t="s">
        <v>262</v>
      </c>
      <c r="B28" s="138" t="s">
        <v>513</v>
      </c>
      <c r="C28" s="117" t="s">
        <v>514</v>
      </c>
      <c r="D28" s="117" t="s">
        <v>451</v>
      </c>
      <c r="E28" s="117"/>
    </row>
    <row r="29" spans="1:5" ht="51.95" customHeight="1">
      <c r="A29" s="135" t="s">
        <v>430</v>
      </c>
      <c r="B29" s="138" t="s">
        <v>515</v>
      </c>
      <c r="C29" s="117" t="s">
        <v>516</v>
      </c>
      <c r="D29" s="117" t="s">
        <v>517</v>
      </c>
      <c r="E29" s="117"/>
    </row>
    <row r="30" spans="1:5" ht="51.95" customHeight="1">
      <c r="A30" s="135" t="s">
        <v>434</v>
      </c>
      <c r="B30" s="136" t="s">
        <v>518</v>
      </c>
      <c r="C30" s="137" t="s">
        <v>452</v>
      </c>
      <c r="D30" s="117" t="s">
        <v>519</v>
      </c>
      <c r="E30" s="117"/>
    </row>
    <row r="31" spans="1:5" ht="51.95" customHeight="1">
      <c r="A31" s="135" t="s">
        <v>438</v>
      </c>
      <c r="B31" s="136" t="s">
        <v>520</v>
      </c>
      <c r="C31" s="117" t="s">
        <v>453</v>
      </c>
      <c r="D31" s="117" t="s">
        <v>521</v>
      </c>
      <c r="E31" s="117"/>
    </row>
    <row r="32" spans="1:5" ht="51.95" customHeight="1">
      <c r="A32" s="135" t="s">
        <v>442</v>
      </c>
      <c r="B32" s="136" t="s">
        <v>522</v>
      </c>
      <c r="C32" s="137" t="s">
        <v>523</v>
      </c>
      <c r="D32" s="117" t="s">
        <v>524</v>
      </c>
      <c r="E32" s="117"/>
    </row>
    <row r="33" spans="1:5" ht="51.95" customHeight="1">
      <c r="A33" s="135" t="s">
        <v>454</v>
      </c>
      <c r="B33" s="136" t="s">
        <v>525</v>
      </c>
      <c r="C33" s="117" t="s">
        <v>455</v>
      </c>
      <c r="D33" s="117" t="s">
        <v>526</v>
      </c>
      <c r="E33" s="117"/>
    </row>
    <row r="34" spans="1:5" ht="51.95" customHeight="1">
      <c r="A34" s="135" t="s">
        <v>456</v>
      </c>
      <c r="B34" s="136" t="s">
        <v>457</v>
      </c>
      <c r="C34" s="137" t="s">
        <v>458</v>
      </c>
      <c r="D34" s="117" t="s">
        <v>527</v>
      </c>
      <c r="E34" s="117"/>
    </row>
    <row r="35" spans="1:5" ht="51.95" customHeight="1">
      <c r="A35" s="135" t="s">
        <v>459</v>
      </c>
      <c r="B35" s="136" t="s">
        <v>460</v>
      </c>
      <c r="C35" s="137" t="s">
        <v>461</v>
      </c>
      <c r="D35" s="117" t="s">
        <v>462</v>
      </c>
      <c r="E35" s="117"/>
    </row>
    <row r="36" spans="1:5" ht="15.75">
      <c r="A36" s="114"/>
      <c r="B36" s="114"/>
      <c r="C36" s="114"/>
      <c r="D36" s="114"/>
      <c r="E36" s="114"/>
    </row>
    <row r="37" spans="1:5" ht="26.25" customHeight="1">
      <c r="A37" s="735" t="s">
        <v>463</v>
      </c>
      <c r="B37" s="735"/>
      <c r="C37" s="735"/>
      <c r="D37" s="735"/>
      <c r="E37" s="735"/>
    </row>
    <row r="38" spans="1:5" ht="38.1" customHeight="1">
      <c r="A38" s="133" t="s">
        <v>464</v>
      </c>
      <c r="B38" s="117" t="s">
        <v>528</v>
      </c>
      <c r="C38" s="117"/>
      <c r="D38" s="117"/>
      <c r="E38" s="117"/>
    </row>
    <row r="39" spans="1:5" ht="38.1" customHeight="1">
      <c r="A39" s="133" t="s">
        <v>465</v>
      </c>
      <c r="B39" s="117" t="s">
        <v>529</v>
      </c>
      <c r="C39" s="117"/>
      <c r="D39" s="117"/>
      <c r="E39" s="117"/>
    </row>
    <row r="40" spans="1:5" ht="38.1" customHeight="1">
      <c r="A40" s="133" t="s">
        <v>466</v>
      </c>
      <c r="B40" s="117" t="s">
        <v>530</v>
      </c>
      <c r="C40" s="117"/>
      <c r="D40" s="117"/>
      <c r="E40" s="117"/>
    </row>
    <row r="41" spans="1:5" ht="38.1" customHeight="1">
      <c r="A41" s="133" t="s">
        <v>467</v>
      </c>
      <c r="B41" s="117" t="s">
        <v>531</v>
      </c>
      <c r="C41" s="117"/>
      <c r="D41" s="117"/>
      <c r="E41" s="117"/>
    </row>
    <row r="42" spans="1:5" ht="38.1" customHeight="1">
      <c r="A42" s="133" t="s">
        <v>468</v>
      </c>
      <c r="B42" s="117" t="s">
        <v>469</v>
      </c>
      <c r="C42" s="117"/>
      <c r="D42" s="117"/>
      <c r="E42" s="117"/>
    </row>
    <row r="43" spans="1:5" ht="38.1" customHeight="1">
      <c r="A43" s="133" t="s">
        <v>470</v>
      </c>
      <c r="B43" s="117" t="s">
        <v>532</v>
      </c>
      <c r="C43" s="117"/>
      <c r="D43" s="117"/>
      <c r="E43" s="117"/>
    </row>
    <row r="44" spans="1:5" ht="15.75">
      <c r="A44" s="114"/>
      <c r="B44" s="114"/>
      <c r="C44" s="114"/>
      <c r="D44" s="114"/>
      <c r="E44" s="114"/>
    </row>
    <row r="45" spans="1:5" ht="26.25" customHeight="1">
      <c r="A45" s="735" t="s">
        <v>471</v>
      </c>
      <c r="B45" s="735"/>
      <c r="C45" s="735"/>
      <c r="D45" s="735"/>
      <c r="E45" s="735"/>
    </row>
    <row r="46" spans="1:5" ht="44.1" customHeight="1">
      <c r="A46" s="139" t="s">
        <v>17</v>
      </c>
      <c r="B46" s="134" t="s">
        <v>472</v>
      </c>
      <c r="C46" s="117" t="s">
        <v>533</v>
      </c>
      <c r="D46" s="117"/>
      <c r="E46" s="117"/>
    </row>
    <row r="47" spans="1:5" ht="44.1" customHeight="1">
      <c r="A47" s="139" t="s">
        <v>30</v>
      </c>
      <c r="B47" s="134" t="s">
        <v>534</v>
      </c>
      <c r="C47" s="117" t="s">
        <v>535</v>
      </c>
      <c r="D47" s="117"/>
      <c r="E47" s="117"/>
    </row>
    <row r="48" spans="1:5" ht="44.1" customHeight="1">
      <c r="A48" s="139" t="s">
        <v>21</v>
      </c>
      <c r="B48" s="134" t="s">
        <v>536</v>
      </c>
      <c r="C48" s="117" t="s">
        <v>537</v>
      </c>
      <c r="D48" s="117"/>
      <c r="E48" s="117"/>
    </row>
    <row r="49" spans="1:5" ht="44.1" customHeight="1">
      <c r="A49" s="139" t="s">
        <v>173</v>
      </c>
      <c r="B49" s="134" t="s">
        <v>473</v>
      </c>
      <c r="C49" s="117" t="s">
        <v>474</v>
      </c>
      <c r="D49" s="117"/>
      <c r="E49" s="117"/>
    </row>
    <row r="50" spans="1:5" ht="44.1" customHeight="1">
      <c r="A50" s="139" t="s">
        <v>475</v>
      </c>
      <c r="B50" s="134" t="s">
        <v>476</v>
      </c>
      <c r="C50" s="117" t="s">
        <v>477</v>
      </c>
      <c r="D50" s="117"/>
      <c r="E50" s="117"/>
    </row>
    <row r="51" spans="1:5" ht="44.1" customHeight="1">
      <c r="A51" s="139" t="s">
        <v>144</v>
      </c>
      <c r="B51" s="134" t="s">
        <v>538</v>
      </c>
      <c r="C51" s="117" t="s">
        <v>539</v>
      </c>
      <c r="D51" s="117"/>
      <c r="E51" s="117"/>
    </row>
    <row r="52" spans="1:5" ht="44.1" customHeight="1">
      <c r="A52" s="139" t="s">
        <v>540</v>
      </c>
      <c r="B52" s="134" t="s">
        <v>541</v>
      </c>
      <c r="C52" s="117" t="s">
        <v>542</v>
      </c>
      <c r="D52" s="117"/>
      <c r="E52" s="117"/>
    </row>
    <row r="53" spans="1:5" ht="44.1" customHeight="1">
      <c r="A53" s="139" t="s">
        <v>6400</v>
      </c>
      <c r="B53" s="134" t="s">
        <v>6402</v>
      </c>
      <c r="C53" s="117" t="s">
        <v>6401</v>
      </c>
      <c r="D53" s="117"/>
      <c r="E53" s="117"/>
    </row>
  </sheetData>
  <mergeCells count="6">
    <mergeCell ref="A45:E45"/>
    <mergeCell ref="A4:E4"/>
    <mergeCell ref="A9:E9"/>
    <mergeCell ref="A17:E17"/>
    <mergeCell ref="A25:E25"/>
    <mergeCell ref="A37:E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CDBE3-BAC6-47E8-83AF-B50256CE9F17}">
  <dimension ref="A1:BK127"/>
  <sheetViews>
    <sheetView zoomScaleNormal="100" workbookViewId="0">
      <selection activeCell="AB8" sqref="AB8:AB9"/>
    </sheetView>
  </sheetViews>
  <sheetFormatPr baseColWidth="10" defaultColWidth="10.28515625" defaultRowHeight="15"/>
  <cols>
    <col min="1" max="1" width="6" style="1" customWidth="1"/>
    <col min="2" max="2" width="20.5703125" style="1" customWidth="1"/>
    <col min="3" max="3" width="29.42578125" style="1" customWidth="1"/>
    <col min="4" max="4" width="9.7109375" style="1" customWidth="1"/>
    <col min="5" max="5" width="16" style="1" customWidth="1"/>
    <col min="6" max="6" width="22.85546875" style="1" customWidth="1"/>
    <col min="7" max="7" width="12.5703125" style="1" customWidth="1"/>
    <col min="8" max="8" width="16" style="1" customWidth="1"/>
    <col min="9" max="9" width="20.5703125" style="1" customWidth="1"/>
    <col min="10" max="10" width="14.85546875" style="1" customWidth="1"/>
    <col min="11" max="11" width="17.140625" style="1" customWidth="1"/>
    <col min="12" max="12" width="20.7109375" style="1" customWidth="1"/>
    <col min="13" max="13" width="20.5703125" style="1" customWidth="1"/>
    <col min="14" max="14" width="3.42578125" style="1" customWidth="1"/>
    <col min="15" max="15" width="22.85546875" style="1" customWidth="1"/>
    <col min="16" max="16" width="13.7109375" style="1" customWidth="1"/>
    <col min="17" max="17" width="35.5703125" style="1" customWidth="1"/>
    <col min="18" max="18" width="13.7109375" style="1" customWidth="1"/>
    <col min="19" max="19" width="19.140625" style="1" customWidth="1"/>
    <col min="20" max="20" width="25.140625" style="1" customWidth="1"/>
    <col min="21" max="21" width="20.28515625" style="1" customWidth="1"/>
    <col min="22" max="22" width="39.42578125" style="1" customWidth="1"/>
    <col min="23" max="23" width="16" style="1" customWidth="1"/>
    <col min="24" max="24" width="18.28515625" style="1" customWidth="1"/>
    <col min="25" max="25" width="25.140625" style="1" customWidth="1"/>
    <col min="26" max="26" width="16" style="1" customWidth="1"/>
    <col min="27" max="27" width="13.7109375" style="1" customWidth="1"/>
    <col min="28" max="28" width="14.85546875" style="1" customWidth="1"/>
    <col min="29" max="29" width="19.7109375" style="1" customWidth="1"/>
    <col min="30" max="30" width="17.140625" style="1" customWidth="1"/>
    <col min="31" max="31" width="20.5703125" style="1" customWidth="1"/>
    <col min="32" max="32" width="38.85546875" style="1" customWidth="1"/>
    <col min="33" max="34" width="10.28515625" style="1"/>
    <col min="35" max="35" width="29.140625" style="1" customWidth="1"/>
    <col min="36" max="38" width="18.5703125" style="1" customWidth="1"/>
    <col min="39" max="39" width="19.7109375" style="1" customWidth="1"/>
    <col min="40" max="40" width="18.5703125" style="1" customWidth="1"/>
    <col min="41" max="42" width="17.42578125" style="1" customWidth="1"/>
    <col min="43" max="43" width="20.85546875" style="1" customWidth="1"/>
    <col min="44" max="44" width="11.7109375" style="1" customWidth="1"/>
    <col min="45" max="45" width="16" style="1" customWidth="1"/>
    <col min="46" max="46" width="10.28515625" style="1"/>
    <col min="47" max="47" width="22.85546875" style="1" customWidth="1"/>
    <col min="48" max="50" width="13.7109375" style="1" customWidth="1"/>
    <col min="51" max="51" width="20.5703125" style="1" customWidth="1"/>
    <col min="52" max="52" width="22" style="1" customWidth="1"/>
    <col min="53" max="53" width="10.28515625" style="1"/>
    <col min="54" max="54" width="24" style="1" customWidth="1"/>
    <col min="55" max="55" width="12" style="1" customWidth="1"/>
    <col min="56" max="59" width="10.28515625" style="1"/>
    <col min="60" max="60" width="27.42578125" style="1" customWidth="1"/>
    <col min="61" max="61" width="38.28515625" style="1" customWidth="1"/>
    <col min="62" max="16384" width="10.28515625" style="1"/>
  </cols>
  <sheetData>
    <row r="1" spans="1:63" ht="44.1" customHeight="1">
      <c r="B1" s="2" t="s">
        <v>0</v>
      </c>
      <c r="C1" s="2"/>
      <c r="D1" s="2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751" t="s">
        <v>2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U1" s="4"/>
      <c r="AV1" s="4"/>
      <c r="AW1" s="4"/>
      <c r="AX1" s="4"/>
      <c r="AY1" s="4"/>
      <c r="AZ1" s="4"/>
      <c r="BB1" s="4"/>
      <c r="BC1" s="4"/>
      <c r="BK1" s="447">
        <v>1</v>
      </c>
    </row>
    <row r="2" spans="1:63" ht="30" customHeight="1">
      <c r="B2" s="5" t="s">
        <v>3</v>
      </c>
      <c r="C2" s="6" t="s">
        <v>478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51"/>
      <c r="P2" s="3"/>
      <c r="Q2" s="3"/>
      <c r="R2" s="3"/>
      <c r="S2" s="3"/>
      <c r="T2" s="3"/>
      <c r="U2" s="3"/>
      <c r="Z2" s="3"/>
      <c r="AA2" s="3"/>
      <c r="AB2" s="3"/>
      <c r="AC2" s="3"/>
      <c r="AD2" s="3"/>
      <c r="AE2" s="3"/>
      <c r="AF2" s="3"/>
      <c r="AU2" s="4"/>
      <c r="AV2" s="4"/>
      <c r="AW2" s="4"/>
      <c r="AX2" s="4"/>
      <c r="AY2" s="4"/>
      <c r="AZ2" s="4"/>
      <c r="BB2" s="4"/>
      <c r="BC2" s="4"/>
      <c r="BK2" s="447">
        <v>1</v>
      </c>
    </row>
    <row r="3" spans="1:63" ht="26.25" thickBot="1">
      <c r="B3" s="8" t="s">
        <v>479</v>
      </c>
      <c r="C3" s="9" t="str" cm="1">
        <f t="array" aca="1" ref="C3" ca="1">CELL("nomfichier")</f>
        <v>D:\Données\1.UPRT\0-UPRT.fait\1-UPRT.FR-SITE-WEB\ff-fiches-fabrications\ff.fiches.fabrication.2026\ffr-restaurant-2026\[02-15-fiche-technique-cocktails-06-09-20h-2026.xlsx]Fiche.recette</v>
      </c>
      <c r="D3" s="3"/>
      <c r="E3" s="3"/>
      <c r="F3" s="3"/>
      <c r="G3" s="3"/>
      <c r="H3" s="3"/>
      <c r="I3" s="140"/>
      <c r="J3" s="140"/>
      <c r="K3" s="140"/>
      <c r="L3" s="140"/>
      <c r="M3" s="140"/>
      <c r="N3" s="3"/>
      <c r="O3" s="751" t="s">
        <v>480</v>
      </c>
      <c r="P3" s="3"/>
      <c r="Q3" s="3"/>
      <c r="R3" s="3"/>
      <c r="S3" s="3"/>
      <c r="T3" s="3"/>
      <c r="U3" s="3"/>
      <c r="Z3" s="3"/>
      <c r="AA3" s="3"/>
      <c r="AB3" s="3"/>
      <c r="AC3" s="3"/>
      <c r="AD3" s="3"/>
      <c r="AE3" s="3"/>
      <c r="AF3" s="3"/>
      <c r="AU3" s="752" t="s">
        <v>4</v>
      </c>
      <c r="AV3" s="753"/>
      <c r="AW3" s="753"/>
      <c r="AX3" s="753"/>
      <c r="AY3" s="754"/>
      <c r="AZ3" s="141" t="s">
        <v>5</v>
      </c>
      <c r="BB3" s="141" t="s">
        <v>6</v>
      </c>
      <c r="BC3" s="141"/>
      <c r="BE3" s="199" t="s">
        <v>556</v>
      </c>
      <c r="BF3" s="200"/>
      <c r="BG3" s="200"/>
      <c r="BH3" s="200"/>
      <c r="BI3" s="382"/>
      <c r="BK3" s="447">
        <v>1</v>
      </c>
    </row>
    <row r="4" spans="1:63" ht="21.95" customHeight="1">
      <c r="B4" s="10" t="s">
        <v>7</v>
      </c>
      <c r="C4" s="11"/>
      <c r="D4" s="11"/>
      <c r="E4" s="11"/>
      <c r="F4" s="11"/>
      <c r="G4" s="11"/>
      <c r="H4" s="11"/>
      <c r="I4" s="140"/>
      <c r="J4" s="10" t="s">
        <v>8</v>
      </c>
      <c r="K4" s="10"/>
      <c r="L4" s="10"/>
      <c r="M4" s="10"/>
      <c r="N4" s="3"/>
      <c r="O4" s="751"/>
      <c r="P4" s="3"/>
      <c r="Q4" s="3"/>
      <c r="R4" s="3"/>
      <c r="S4" s="3"/>
      <c r="T4" s="3"/>
      <c r="U4" s="3"/>
      <c r="Z4" s="3"/>
      <c r="AA4" s="3"/>
      <c r="AB4" s="3"/>
      <c r="AC4" s="3"/>
      <c r="AD4" s="3"/>
      <c r="AE4" s="3"/>
      <c r="AF4" s="3"/>
      <c r="AU4" s="12" t="s">
        <v>9</v>
      </c>
      <c r="AV4" s="13" t="s">
        <v>10</v>
      </c>
      <c r="AW4" s="13" t="s">
        <v>11</v>
      </c>
      <c r="AX4" s="13" t="s">
        <v>12</v>
      </c>
      <c r="AY4" s="13" t="s">
        <v>13</v>
      </c>
      <c r="AZ4" s="142" t="s">
        <v>14</v>
      </c>
      <c r="BB4" s="141" t="s">
        <v>15</v>
      </c>
      <c r="BC4" s="141" t="s">
        <v>16</v>
      </c>
      <c r="BE4" s="740" t="s">
        <v>552</v>
      </c>
      <c r="BF4" s="201"/>
      <c r="BG4" s="742" t="s">
        <v>559</v>
      </c>
      <c r="BH4" s="380" t="s">
        <v>560</v>
      </c>
      <c r="BI4" s="198" t="s">
        <v>561</v>
      </c>
      <c r="BK4" s="447">
        <v>1</v>
      </c>
    </row>
    <row r="5" spans="1:63" ht="21.95" customHeight="1">
      <c r="B5" s="14" t="s">
        <v>17</v>
      </c>
      <c r="C5" s="15" t="s">
        <v>18</v>
      </c>
      <c r="D5" s="15"/>
      <c r="E5" s="15"/>
      <c r="F5" s="15"/>
      <c r="G5" s="15"/>
      <c r="H5" s="15"/>
      <c r="I5" s="140"/>
      <c r="J5" s="11" t="s">
        <v>19</v>
      </c>
      <c r="K5" s="10"/>
      <c r="L5" s="10"/>
      <c r="M5" s="10"/>
      <c r="N5" s="3"/>
      <c r="O5" s="16" t="s">
        <v>20</v>
      </c>
      <c r="P5" s="3"/>
      <c r="Q5" s="3"/>
      <c r="R5" s="3"/>
      <c r="S5" s="3"/>
      <c r="T5" s="3"/>
      <c r="U5" s="3"/>
      <c r="Z5" s="3"/>
      <c r="AA5" s="3"/>
      <c r="AB5" s="3"/>
      <c r="AC5" s="3"/>
      <c r="AD5" s="3"/>
      <c r="AE5" s="3"/>
      <c r="AF5" s="3"/>
      <c r="AU5" s="16" t="s">
        <v>20</v>
      </c>
      <c r="AV5" s="17" t="s">
        <v>21</v>
      </c>
      <c r="AW5" s="17">
        <v>1000</v>
      </c>
      <c r="AX5" s="17" t="s">
        <v>22</v>
      </c>
      <c r="AY5" s="17" t="s">
        <v>20</v>
      </c>
      <c r="AZ5" s="143" t="s">
        <v>23</v>
      </c>
      <c r="BB5" s="144" t="s">
        <v>24</v>
      </c>
      <c r="BC5" s="145">
        <v>35</v>
      </c>
      <c r="BE5" s="741"/>
      <c r="BF5" s="202"/>
      <c r="BG5" s="743"/>
      <c r="BH5" s="381" t="s">
        <v>565</v>
      </c>
      <c r="BI5" s="383" t="s">
        <v>6665</v>
      </c>
      <c r="BK5" s="447">
        <v>1</v>
      </c>
    </row>
    <row r="6" spans="1:63" ht="21.95" customHeight="1">
      <c r="B6" s="14" t="s">
        <v>25</v>
      </c>
      <c r="C6" s="15" t="s">
        <v>26</v>
      </c>
      <c r="D6" s="15"/>
      <c r="E6" s="15"/>
      <c r="F6" s="15"/>
      <c r="G6" s="15"/>
      <c r="H6" s="15"/>
      <c r="I6" s="140"/>
      <c r="J6" s="15" t="s">
        <v>27</v>
      </c>
      <c r="K6" s="15"/>
      <c r="L6" s="15"/>
      <c r="M6" s="15"/>
      <c r="N6" s="3"/>
      <c r="O6" s="18" t="s">
        <v>28</v>
      </c>
      <c r="P6" s="3"/>
      <c r="Q6" s="3"/>
      <c r="R6" s="3"/>
      <c r="S6" s="3"/>
      <c r="T6" s="3"/>
      <c r="U6" s="3"/>
      <c r="Z6" s="3"/>
      <c r="AA6" s="3"/>
      <c r="AB6" s="3"/>
      <c r="AC6" s="3"/>
      <c r="AD6" s="3"/>
      <c r="AE6" s="3"/>
      <c r="AF6" s="3"/>
      <c r="AU6" s="18" t="s">
        <v>28</v>
      </c>
      <c r="AV6" s="17" t="s">
        <v>21</v>
      </c>
      <c r="AW6" s="17">
        <v>100</v>
      </c>
      <c r="AX6" s="17" t="s">
        <v>22</v>
      </c>
      <c r="AY6" s="17" t="s">
        <v>28</v>
      </c>
      <c r="AZ6" s="143" t="s">
        <v>23</v>
      </c>
      <c r="BB6" s="144" t="s">
        <v>29</v>
      </c>
      <c r="BC6" s="145">
        <v>30</v>
      </c>
      <c r="BE6" s="72">
        <v>40</v>
      </c>
      <c r="BF6" s="203"/>
      <c r="BG6" s="159">
        <v>1.04</v>
      </c>
      <c r="BH6" s="70" t="s">
        <v>569</v>
      </c>
      <c r="BI6" s="38" t="s">
        <v>570</v>
      </c>
      <c r="BK6" s="447">
        <v>1</v>
      </c>
    </row>
    <row r="7" spans="1:63" ht="21.95" customHeight="1">
      <c r="B7" s="14" t="s">
        <v>30</v>
      </c>
      <c r="C7" s="15" t="s">
        <v>481</v>
      </c>
      <c r="D7" s="15"/>
      <c r="E7" s="15"/>
      <c r="F7" s="15"/>
      <c r="G7" s="15"/>
      <c r="H7" s="15"/>
      <c r="I7" s="140"/>
      <c r="J7" s="15" t="s">
        <v>31</v>
      </c>
      <c r="K7" s="15"/>
      <c r="L7" s="15"/>
      <c r="M7" s="15"/>
      <c r="N7" s="3"/>
      <c r="O7" s="18" t="s">
        <v>32</v>
      </c>
      <c r="P7" s="3"/>
      <c r="Q7" s="3"/>
      <c r="R7" s="3"/>
      <c r="S7" s="3"/>
      <c r="T7" s="3"/>
      <c r="U7" s="3"/>
      <c r="Z7" s="3"/>
      <c r="AA7" s="3"/>
      <c r="AB7" s="3"/>
      <c r="AC7" s="3"/>
      <c r="AD7" s="3"/>
      <c r="AE7" s="3"/>
      <c r="AF7" s="3"/>
      <c r="AU7" s="18" t="s">
        <v>32</v>
      </c>
      <c r="AV7" s="17" t="s">
        <v>21</v>
      </c>
      <c r="AW7" s="17">
        <v>10</v>
      </c>
      <c r="AX7" s="17" t="s">
        <v>22</v>
      </c>
      <c r="AY7" s="17" t="s">
        <v>32</v>
      </c>
      <c r="AZ7" s="143" t="s">
        <v>23</v>
      </c>
      <c r="BB7" s="144" t="s">
        <v>33</v>
      </c>
      <c r="BC7" s="145">
        <v>40</v>
      </c>
      <c r="BE7" s="72">
        <v>17</v>
      </c>
      <c r="BF7" s="203"/>
      <c r="BG7" s="159">
        <v>1.04</v>
      </c>
      <c r="BH7" s="70" t="s">
        <v>572</v>
      </c>
      <c r="BI7" s="38" t="s">
        <v>573</v>
      </c>
      <c r="BK7" s="447">
        <v>1</v>
      </c>
    </row>
    <row r="8" spans="1:63" ht="21.95" customHeight="1">
      <c r="B8" s="14" t="s">
        <v>34</v>
      </c>
      <c r="C8" s="15" t="s">
        <v>482</v>
      </c>
      <c r="D8" s="15"/>
      <c r="E8" s="15"/>
      <c r="F8" s="15"/>
      <c r="G8" s="15"/>
      <c r="H8" s="15"/>
      <c r="I8" s="140"/>
      <c r="J8" s="15" t="s">
        <v>35</v>
      </c>
      <c r="K8" s="15"/>
      <c r="L8" s="15"/>
      <c r="M8" s="15"/>
      <c r="N8" s="3"/>
      <c r="O8" s="18" t="s">
        <v>22</v>
      </c>
      <c r="P8" s="3"/>
      <c r="Q8" s="3"/>
      <c r="R8" s="3"/>
      <c r="S8" s="3"/>
      <c r="T8" s="3"/>
      <c r="U8" s="3"/>
      <c r="Z8" s="3"/>
      <c r="AA8" s="3"/>
      <c r="AB8" s="3"/>
      <c r="AC8" s="3"/>
      <c r="AD8" s="3"/>
      <c r="AE8" s="3"/>
      <c r="AF8" s="3"/>
      <c r="AU8" s="18" t="s">
        <v>22</v>
      </c>
      <c r="AV8" s="17" t="s">
        <v>21</v>
      </c>
      <c r="AW8" s="17">
        <v>1</v>
      </c>
      <c r="AX8" s="17" t="s">
        <v>22</v>
      </c>
      <c r="AY8" s="17" t="s">
        <v>22</v>
      </c>
      <c r="AZ8" s="143" t="s">
        <v>23</v>
      </c>
      <c r="BB8" s="144" t="s">
        <v>36</v>
      </c>
      <c r="BC8" s="145">
        <v>18</v>
      </c>
      <c r="BE8" s="72">
        <v>29</v>
      </c>
      <c r="BF8" s="203"/>
      <c r="BG8" s="159">
        <v>0.97</v>
      </c>
      <c r="BH8" s="70" t="s">
        <v>575</v>
      </c>
      <c r="BI8" s="38" t="s">
        <v>576</v>
      </c>
      <c r="BK8" s="447">
        <v>1</v>
      </c>
    </row>
    <row r="9" spans="1:63" ht="21.95" customHeight="1">
      <c r="B9" s="14" t="s">
        <v>37</v>
      </c>
      <c r="C9" s="15" t="s">
        <v>483</v>
      </c>
      <c r="D9" s="15"/>
      <c r="E9" s="15"/>
      <c r="F9" s="15"/>
      <c r="G9" s="15"/>
      <c r="H9" s="15"/>
      <c r="I9" s="140"/>
      <c r="J9" s="19" t="s">
        <v>38</v>
      </c>
      <c r="K9" s="19"/>
      <c r="L9" s="19"/>
      <c r="M9" s="19"/>
      <c r="N9" s="3"/>
      <c r="O9" s="20" t="s">
        <v>39</v>
      </c>
      <c r="P9" s="3"/>
      <c r="Q9" s="3"/>
      <c r="R9" s="3"/>
      <c r="S9" s="3"/>
      <c r="T9" s="3"/>
      <c r="U9" s="3"/>
      <c r="Z9" s="3"/>
      <c r="AA9" s="3"/>
      <c r="AB9" s="3"/>
      <c r="AC9" s="3"/>
      <c r="AD9" s="3"/>
      <c r="AE9" s="3"/>
      <c r="AF9" s="3"/>
      <c r="AU9" s="20" t="s">
        <v>39</v>
      </c>
      <c r="AV9" s="17" t="s">
        <v>21</v>
      </c>
      <c r="AW9" s="17">
        <v>500</v>
      </c>
      <c r="AX9" s="17" t="s">
        <v>22</v>
      </c>
      <c r="AY9" s="17" t="s">
        <v>20</v>
      </c>
      <c r="AZ9" s="143" t="s">
        <v>23</v>
      </c>
      <c r="BB9" s="144" t="s">
        <v>40</v>
      </c>
      <c r="BC9" s="145">
        <v>18</v>
      </c>
      <c r="BE9" s="72">
        <v>28</v>
      </c>
      <c r="BF9" s="203"/>
      <c r="BG9" s="159">
        <v>1.04</v>
      </c>
      <c r="BH9" s="70" t="s">
        <v>582</v>
      </c>
      <c r="BI9" s="38" t="s">
        <v>583</v>
      </c>
      <c r="BK9" s="447">
        <v>1</v>
      </c>
    </row>
    <row r="10" spans="1:63" ht="21.95" customHeight="1">
      <c r="B10" s="14" t="s">
        <v>41</v>
      </c>
      <c r="C10" s="15" t="s">
        <v>484</v>
      </c>
      <c r="D10" s="15"/>
      <c r="E10" s="15"/>
      <c r="F10" s="15"/>
      <c r="G10" s="15"/>
      <c r="H10" s="15"/>
      <c r="I10" s="140"/>
      <c r="J10" s="43" t="s">
        <v>485</v>
      </c>
      <c r="K10" s="43"/>
      <c r="L10" s="43"/>
      <c r="M10" s="43"/>
      <c r="N10" s="3"/>
      <c r="O10" s="20" t="s">
        <v>42</v>
      </c>
      <c r="P10" s="3"/>
      <c r="Q10" s="3"/>
      <c r="R10" s="3"/>
      <c r="S10" s="3"/>
      <c r="T10" s="3"/>
      <c r="U10" s="3"/>
      <c r="Z10" s="3"/>
      <c r="AA10" s="3"/>
      <c r="AB10" s="3"/>
      <c r="AC10" s="3"/>
      <c r="AD10" s="3"/>
      <c r="AE10" s="3"/>
      <c r="AF10" s="3"/>
      <c r="AU10" s="20" t="s">
        <v>42</v>
      </c>
      <c r="AV10" s="17" t="s">
        <v>21</v>
      </c>
      <c r="AW10" s="17">
        <v>250</v>
      </c>
      <c r="AX10" s="17" t="s">
        <v>22</v>
      </c>
      <c r="AY10" s="17" t="s">
        <v>20</v>
      </c>
      <c r="AZ10" s="143" t="s">
        <v>23</v>
      </c>
      <c r="BB10" s="144" t="s">
        <v>43</v>
      </c>
      <c r="BC10" s="145">
        <v>24</v>
      </c>
      <c r="BE10" s="72">
        <v>44.7</v>
      </c>
      <c r="BF10" s="203"/>
      <c r="BG10" s="159">
        <v>0.94</v>
      </c>
      <c r="BH10" s="70" t="s">
        <v>587</v>
      </c>
      <c r="BI10" s="38" t="s">
        <v>588</v>
      </c>
      <c r="BK10" s="447">
        <v>1</v>
      </c>
    </row>
    <row r="11" spans="1:63" ht="29.25" customHeight="1">
      <c r="B11" s="14" t="s">
        <v>44</v>
      </c>
      <c r="C11" s="146" t="s">
        <v>486</v>
      </c>
      <c r="D11" s="15"/>
      <c r="E11" s="15"/>
      <c r="F11" s="15"/>
      <c r="G11" s="15"/>
      <c r="H11" s="15"/>
      <c r="I11" s="140"/>
      <c r="J11" s="43"/>
      <c r="K11" s="43"/>
      <c r="L11" s="43"/>
      <c r="M11" s="43"/>
      <c r="N11" s="3"/>
      <c r="O11" s="20" t="s">
        <v>45</v>
      </c>
      <c r="P11" s="3"/>
      <c r="Q11" s="3"/>
      <c r="R11" s="3"/>
      <c r="S11" s="3"/>
      <c r="T11" s="3"/>
      <c r="U11" s="3"/>
      <c r="Z11" s="3"/>
      <c r="AA11" s="3"/>
      <c r="AB11" s="3"/>
      <c r="AC11" s="3"/>
      <c r="AD11" s="3"/>
      <c r="AE11" s="3"/>
      <c r="AF11" s="3"/>
      <c r="AU11" s="20" t="s">
        <v>45</v>
      </c>
      <c r="AV11" s="17" t="s">
        <v>21</v>
      </c>
      <c r="AW11" s="17">
        <v>333.33333299999998</v>
      </c>
      <c r="AX11" s="17" t="s">
        <v>22</v>
      </c>
      <c r="AY11" s="17" t="s">
        <v>20</v>
      </c>
      <c r="AZ11" s="143" t="s">
        <v>23</v>
      </c>
      <c r="BB11" s="144" t="s">
        <v>46</v>
      </c>
      <c r="BC11" s="145">
        <v>24</v>
      </c>
      <c r="BE11" s="72">
        <v>25</v>
      </c>
      <c r="BF11" s="203"/>
      <c r="BG11" s="159">
        <v>1.05</v>
      </c>
      <c r="BH11" s="70" t="s">
        <v>589</v>
      </c>
      <c r="BI11" s="38" t="s">
        <v>576</v>
      </c>
      <c r="BK11" s="447">
        <v>1</v>
      </c>
    </row>
    <row r="12" spans="1:63" ht="24" customHeight="1">
      <c r="B12" s="14" t="s">
        <v>47</v>
      </c>
      <c r="C12" s="15" t="s">
        <v>487</v>
      </c>
      <c r="D12" s="15"/>
      <c r="E12" s="15"/>
      <c r="F12" s="15"/>
      <c r="G12" s="15"/>
      <c r="H12" s="15"/>
      <c r="I12" s="140"/>
      <c r="J12" s="140"/>
      <c r="K12" s="140"/>
      <c r="L12" s="140"/>
      <c r="M12" s="140"/>
      <c r="N12" s="3"/>
      <c r="O12" s="20" t="s">
        <v>48</v>
      </c>
      <c r="P12" s="3"/>
      <c r="Q12" s="3"/>
      <c r="R12" s="3"/>
      <c r="S12" s="3"/>
      <c r="T12" s="3"/>
      <c r="U12" s="3"/>
      <c r="V12" s="863" t="s">
        <v>7409</v>
      </c>
      <c r="W12" s="863"/>
      <c r="X12" s="863"/>
      <c r="Y12" s="863"/>
      <c r="Z12" s="863"/>
      <c r="AA12" s="863"/>
      <c r="AB12" s="863"/>
      <c r="AC12" s="863"/>
      <c r="AD12" s="863"/>
      <c r="AE12" s="863"/>
      <c r="AF12" s="863"/>
      <c r="AU12" s="20" t="s">
        <v>48</v>
      </c>
      <c r="AV12" s="17" t="s">
        <v>21</v>
      </c>
      <c r="AW12" s="17">
        <v>666.66666699999996</v>
      </c>
      <c r="AX12" s="17" t="s">
        <v>22</v>
      </c>
      <c r="AY12" s="17" t="s">
        <v>20</v>
      </c>
      <c r="AZ12" s="143" t="s">
        <v>23</v>
      </c>
      <c r="BB12" s="144" t="s">
        <v>49</v>
      </c>
      <c r="BC12" s="145">
        <v>18</v>
      </c>
      <c r="BE12" s="72">
        <v>40</v>
      </c>
      <c r="BF12" s="203"/>
      <c r="BG12" s="159">
        <v>0.95</v>
      </c>
      <c r="BH12" s="70" t="s">
        <v>594</v>
      </c>
      <c r="BI12" s="38" t="s">
        <v>595</v>
      </c>
      <c r="BK12" s="447">
        <v>1</v>
      </c>
    </row>
    <row r="13" spans="1:63" ht="18.75"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3"/>
      <c r="O13" s="20" t="s">
        <v>50</v>
      </c>
      <c r="P13" s="3"/>
      <c r="Q13" s="3"/>
      <c r="R13" s="3"/>
      <c r="S13" s="3"/>
      <c r="T13" s="3"/>
      <c r="U13" s="3"/>
      <c r="V13" s="863"/>
      <c r="W13" s="863"/>
      <c r="X13" s="863"/>
      <c r="Y13" s="863"/>
      <c r="Z13" s="863"/>
      <c r="AA13" s="863"/>
      <c r="AB13" s="863"/>
      <c r="AC13" s="863"/>
      <c r="AD13" s="863"/>
      <c r="AE13" s="863"/>
      <c r="AF13" s="863"/>
      <c r="AU13" s="20" t="s">
        <v>50</v>
      </c>
      <c r="AV13" s="17" t="s">
        <v>21</v>
      </c>
      <c r="AW13" s="17">
        <v>125</v>
      </c>
      <c r="AX13" s="17" t="s">
        <v>22</v>
      </c>
      <c r="AY13" s="17" t="s">
        <v>20</v>
      </c>
      <c r="AZ13" s="143" t="s">
        <v>23</v>
      </c>
      <c r="BB13" s="144" t="s">
        <v>51</v>
      </c>
      <c r="BC13" s="145">
        <v>12</v>
      </c>
      <c r="BE13" s="72">
        <v>40</v>
      </c>
      <c r="BF13" s="203"/>
      <c r="BG13" s="159">
        <v>0.95</v>
      </c>
      <c r="BH13" s="70" t="s">
        <v>597</v>
      </c>
      <c r="BI13" s="38" t="s">
        <v>570</v>
      </c>
      <c r="BK13" s="447">
        <v>1</v>
      </c>
    </row>
    <row r="14" spans="1:63" ht="18.75"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3"/>
      <c r="O14" s="20" t="s">
        <v>52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U14" s="20" t="s">
        <v>52</v>
      </c>
      <c r="AV14" s="17" t="s">
        <v>21</v>
      </c>
      <c r="AW14" s="17">
        <v>125</v>
      </c>
      <c r="AX14" s="17" t="s">
        <v>22</v>
      </c>
      <c r="AY14" s="17" t="s">
        <v>20</v>
      </c>
      <c r="AZ14" s="143" t="s">
        <v>23</v>
      </c>
      <c r="BB14" s="144" t="s">
        <v>53</v>
      </c>
      <c r="BC14" s="145">
        <v>12</v>
      </c>
      <c r="BE14" s="72">
        <v>40</v>
      </c>
      <c r="BF14" s="203"/>
      <c r="BG14" s="159">
        <v>0.96</v>
      </c>
      <c r="BH14" s="70" t="s">
        <v>599</v>
      </c>
      <c r="BI14" s="38" t="s">
        <v>576</v>
      </c>
      <c r="BK14" s="447">
        <v>1</v>
      </c>
    </row>
    <row r="15" spans="1:63" ht="27.95" customHeight="1">
      <c r="B15" s="147"/>
      <c r="C15" s="147" t="str">
        <f>"colonne "&amp;SUBSTITUTE(ADDRESS(1,COLUMN(),4),"1","")&amp;"  ▼ "</f>
        <v xml:space="preserve">colonne C  ▼ </v>
      </c>
      <c r="D15" s="147"/>
      <c r="E15" s="147"/>
      <c r="F15" s="147" t="str">
        <f>"colonne "&amp;SUBSTITUTE(ADDRESS(1,COLUMN(),4),"1","")&amp;"  ▼ "</f>
        <v xml:space="preserve">colonne F  ▼ </v>
      </c>
      <c r="G15" s="147"/>
      <c r="H15" s="147"/>
      <c r="I15" s="147" t="str">
        <f>"colonne "&amp;SUBSTITUTE(ADDRESS(1,COLUMN(),4),"1","")&amp;"  ▼ "</f>
        <v xml:space="preserve">colonne I  ▼ </v>
      </c>
      <c r="J15" s="147" t="str">
        <f>"colonne "&amp;SUBSTITUTE(ADDRESS(1,COLUMN(),4),"1","")&amp;"  ▼ "</f>
        <v xml:space="preserve">colonne J  ▼ </v>
      </c>
      <c r="K15" s="147"/>
      <c r="L15" s="147" t="str">
        <f>"colonne "&amp;SUBSTITUTE(ADDRESS(1,COLUMN(),4),"1","")&amp;"  ▼ "</f>
        <v xml:space="preserve">colonne L  ▼ </v>
      </c>
      <c r="M15" s="147"/>
      <c r="N15" s="3"/>
      <c r="O15" s="21" t="s">
        <v>54</v>
      </c>
      <c r="P15" s="3"/>
      <c r="AU15" s="21" t="s">
        <v>54</v>
      </c>
      <c r="AV15" s="17" t="s">
        <v>55</v>
      </c>
      <c r="AW15" s="17">
        <v>1000</v>
      </c>
      <c r="AX15" s="17" t="s">
        <v>56</v>
      </c>
      <c r="AY15" s="17" t="s">
        <v>54</v>
      </c>
      <c r="AZ15" s="148" t="s">
        <v>57</v>
      </c>
      <c r="BB15" s="144" t="s">
        <v>58</v>
      </c>
      <c r="BC15" s="145">
        <v>20</v>
      </c>
      <c r="BE15" s="72">
        <v>40</v>
      </c>
      <c r="BF15" s="203"/>
      <c r="BG15" s="159">
        <v>0.94</v>
      </c>
      <c r="BH15" s="70" t="s">
        <v>601</v>
      </c>
      <c r="BI15" s="38" t="s">
        <v>595</v>
      </c>
      <c r="BK15" s="447">
        <v>1</v>
      </c>
    </row>
    <row r="16" spans="1:63" ht="24.95" customHeight="1">
      <c r="A16" s="149" t="s">
        <v>59</v>
      </c>
      <c r="B16" s="755" t="s">
        <v>60</v>
      </c>
      <c r="C16" s="755"/>
      <c r="D16" s="755"/>
      <c r="E16" s="755"/>
      <c r="F16" s="755"/>
      <c r="G16" s="755"/>
      <c r="H16" s="755"/>
      <c r="I16" s="755"/>
      <c r="J16" s="755"/>
      <c r="K16" s="755"/>
      <c r="L16" s="755"/>
      <c r="M16" s="755"/>
      <c r="N16" s="3"/>
      <c r="O16" s="22" t="s">
        <v>56</v>
      </c>
      <c r="P16" s="3"/>
      <c r="Q16" s="10" t="s">
        <v>61</v>
      </c>
      <c r="R16" s="10"/>
      <c r="S16" s="10"/>
      <c r="T16" s="10"/>
      <c r="V16" s="756" t="s">
        <v>62</v>
      </c>
      <c r="W16" s="756"/>
      <c r="X16" s="756"/>
      <c r="Y16" s="23" t="s">
        <v>63</v>
      </c>
      <c r="Z16" s="24"/>
      <c r="AA16" s="24"/>
      <c r="AB16" s="24"/>
      <c r="AC16" s="24"/>
      <c r="AD16" s="24"/>
      <c r="AE16" s="24"/>
      <c r="AF16" s="24"/>
      <c r="AH16" s="25" t="s">
        <v>64</v>
      </c>
      <c r="AI16" s="25"/>
      <c r="AJ16" s="25" t="s">
        <v>65</v>
      </c>
      <c r="AK16" s="25"/>
      <c r="AL16" s="25"/>
      <c r="AM16" s="26"/>
      <c r="AN16" s="26"/>
      <c r="AO16" s="26"/>
      <c r="AP16" s="26"/>
      <c r="AQ16" s="26"/>
      <c r="AR16" s="26"/>
      <c r="AS16" s="26"/>
      <c r="AU16" s="22" t="s">
        <v>56</v>
      </c>
      <c r="AV16" s="17" t="s">
        <v>55</v>
      </c>
      <c r="AW16" s="17">
        <v>1</v>
      </c>
      <c r="AX16" s="17" t="s">
        <v>56</v>
      </c>
      <c r="AY16" s="17" t="s">
        <v>56</v>
      </c>
      <c r="AZ16" s="148" t="s">
        <v>57</v>
      </c>
      <c r="BB16" s="144" t="s">
        <v>66</v>
      </c>
      <c r="BC16" s="145">
        <v>40</v>
      </c>
      <c r="BE16" s="72">
        <v>40</v>
      </c>
      <c r="BF16" s="203"/>
      <c r="BG16" s="159">
        <v>1.04</v>
      </c>
      <c r="BH16" s="70" t="s">
        <v>604</v>
      </c>
      <c r="BI16" s="38" t="s">
        <v>605</v>
      </c>
      <c r="BK16" s="447">
        <v>1</v>
      </c>
    </row>
    <row r="17" spans="1:63" ht="24.95" customHeight="1">
      <c r="A17" s="757"/>
      <c r="B17" s="27" t="s">
        <v>67</v>
      </c>
      <c r="C17" s="28" t="s">
        <v>68</v>
      </c>
      <c r="D17" s="28"/>
      <c r="E17" s="27" t="s">
        <v>69</v>
      </c>
      <c r="F17" s="29" t="s">
        <v>70</v>
      </c>
      <c r="G17" s="30"/>
      <c r="H17" s="27" t="s">
        <v>71</v>
      </c>
      <c r="I17" s="31" t="s">
        <v>72</v>
      </c>
      <c r="J17" s="30"/>
      <c r="K17" s="27" t="s">
        <v>73</v>
      </c>
      <c r="L17" s="32" t="s">
        <v>74</v>
      </c>
      <c r="M17" s="33"/>
      <c r="N17" s="3"/>
      <c r="O17" s="34" t="s">
        <v>75</v>
      </c>
      <c r="P17" s="3"/>
      <c r="Q17" s="14" t="s">
        <v>27</v>
      </c>
      <c r="R17" s="35">
        <v>10</v>
      </c>
      <c r="S17" s="15" t="s">
        <v>76</v>
      </c>
      <c r="T17" s="15"/>
      <c r="V17" s="831" t="s">
        <v>77</v>
      </c>
      <c r="W17" s="862" t="str">
        <f>C17</f>
        <v>AMERICANO</v>
      </c>
      <c r="X17" s="862"/>
      <c r="Y17" s="862"/>
      <c r="Z17" s="36" t="s">
        <v>78</v>
      </c>
      <c r="AA17" s="24" t="str">
        <f>F17</f>
        <v>AVEC ALCOOL</v>
      </c>
      <c r="AB17" s="24"/>
      <c r="AC17" s="831" t="s">
        <v>71</v>
      </c>
      <c r="AD17" s="37" t="str">
        <f>I17</f>
        <v>BEFORE DINNER</v>
      </c>
      <c r="AE17" s="831" t="s">
        <v>73</v>
      </c>
      <c r="AF17" s="24" t="str">
        <f>L17</f>
        <v>ON THE ROCKS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U17" s="34" t="s">
        <v>75</v>
      </c>
      <c r="AV17" s="17" t="s">
        <v>55</v>
      </c>
      <c r="AW17" s="17">
        <v>250</v>
      </c>
      <c r="AX17" s="17" t="s">
        <v>56</v>
      </c>
      <c r="AY17" s="17" t="s">
        <v>54</v>
      </c>
      <c r="AZ17" s="148" t="s">
        <v>57</v>
      </c>
      <c r="BB17" s="144" t="s">
        <v>79</v>
      </c>
      <c r="BC17" s="145">
        <v>40</v>
      </c>
      <c r="BE17" s="72">
        <v>40</v>
      </c>
      <c r="BF17" s="203"/>
      <c r="BG17" s="159">
        <v>1.04</v>
      </c>
      <c r="BH17" s="70" t="s">
        <v>607</v>
      </c>
      <c r="BI17" s="38" t="s">
        <v>608</v>
      </c>
      <c r="BK17" s="447">
        <v>1</v>
      </c>
    </row>
    <row r="18" spans="1:63" ht="24.95" customHeight="1">
      <c r="A18" s="757"/>
      <c r="B18" s="27" t="s">
        <v>80</v>
      </c>
      <c r="C18" s="38" t="s">
        <v>81</v>
      </c>
      <c r="D18" s="30"/>
      <c r="E18" s="27" t="s">
        <v>82</v>
      </c>
      <c r="F18" s="39" t="s">
        <v>83</v>
      </c>
      <c r="G18" s="30"/>
      <c r="H18" s="27" t="s">
        <v>84</v>
      </c>
      <c r="I18" s="40">
        <v>1</v>
      </c>
      <c r="J18" s="41" t="s">
        <v>83</v>
      </c>
      <c r="K18" s="41"/>
      <c r="L18" s="42" t="s">
        <v>76</v>
      </c>
      <c r="M18" s="33"/>
      <c r="N18" s="3"/>
      <c r="O18" s="34" t="s">
        <v>85</v>
      </c>
      <c r="Q18" s="14" t="s">
        <v>31</v>
      </c>
      <c r="R18" s="35"/>
      <c r="S18" s="15" t="s">
        <v>86</v>
      </c>
      <c r="T18" s="15"/>
      <c r="V18" s="44" t="s">
        <v>87</v>
      </c>
      <c r="W18" s="150">
        <f>R22</f>
        <v>13.333333333333334</v>
      </c>
      <c r="X18" s="43" t="s">
        <v>88</v>
      </c>
      <c r="Y18" s="43"/>
      <c r="Z18" s="44" t="s">
        <v>89</v>
      </c>
      <c r="AA18" s="45">
        <f>R24</f>
        <v>1.625</v>
      </c>
      <c r="AB18" s="46" t="s">
        <v>90</v>
      </c>
      <c r="AC18" s="44" t="s">
        <v>91</v>
      </c>
      <c r="AD18" s="45">
        <f>R19</f>
        <v>10</v>
      </c>
      <c r="AE18" s="47" t="s">
        <v>92</v>
      </c>
      <c r="AF18" s="43" t="str">
        <f>R26</f>
        <v>NOMBRE DE COCKTAILS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U18" s="34" t="s">
        <v>85</v>
      </c>
      <c r="AV18" s="17" t="s">
        <v>55</v>
      </c>
      <c r="AW18" s="17">
        <v>333.33333299999998</v>
      </c>
      <c r="AX18" s="17" t="s">
        <v>56</v>
      </c>
      <c r="AY18" s="17" t="s">
        <v>54</v>
      </c>
      <c r="AZ18" s="148" t="s">
        <v>57</v>
      </c>
      <c r="BB18" s="144" t="s">
        <v>93</v>
      </c>
      <c r="BC18" s="145">
        <v>36</v>
      </c>
      <c r="BE18" s="72">
        <v>40</v>
      </c>
      <c r="BF18" s="203"/>
      <c r="BG18" s="159">
        <v>1.05</v>
      </c>
      <c r="BH18" s="70" t="s">
        <v>613</v>
      </c>
      <c r="BI18" s="38" t="s">
        <v>614</v>
      </c>
      <c r="BK18" s="447">
        <v>1</v>
      </c>
    </row>
    <row r="19" spans="1:63" ht="24.95" customHeight="1">
      <c r="A19" s="757"/>
      <c r="B19" s="27" t="s">
        <v>94</v>
      </c>
      <c r="C19" s="151" t="s">
        <v>95</v>
      </c>
      <c r="D19" s="30"/>
      <c r="E19" s="30"/>
      <c r="F19" s="30"/>
      <c r="G19" s="30"/>
      <c r="H19" s="27" t="s">
        <v>96</v>
      </c>
      <c r="I19" s="48">
        <v>15</v>
      </c>
      <c r="J19" s="152" t="s">
        <v>32</v>
      </c>
      <c r="K19" s="30"/>
      <c r="L19" s="30"/>
      <c r="M19" s="33"/>
      <c r="N19" s="3"/>
      <c r="O19" s="34" t="s">
        <v>97</v>
      </c>
      <c r="Q19" s="14" t="s">
        <v>98</v>
      </c>
      <c r="R19" s="49">
        <f>IF(AND(ISNUMBER(R18),R18&gt;0),IFERROR(R18*1000/R20,0),IF(AND(ISNUMBER(R17),R17&gt;0,ISNUMBER(I18),I18&gt;0),R17/I18,1))</f>
        <v>10</v>
      </c>
      <c r="S19" s="50" t="s">
        <v>99</v>
      </c>
      <c r="T19" s="50"/>
      <c r="V19" s="44" t="s">
        <v>100</v>
      </c>
      <c r="W19" s="51">
        <f>IF(R20="","",R20/10)</f>
        <v>15</v>
      </c>
      <c r="X19" s="46" t="s">
        <v>32</v>
      </c>
      <c r="Y19" s="43"/>
      <c r="Z19" s="44" t="s">
        <v>101</v>
      </c>
      <c r="AA19" s="45">
        <f>R21</f>
        <v>15</v>
      </c>
      <c r="AB19" s="46" t="s">
        <v>32</v>
      </c>
      <c r="AC19" s="44" t="s">
        <v>102</v>
      </c>
      <c r="AD19" s="45">
        <f>R25</f>
        <v>10</v>
      </c>
      <c r="AE19" s="51"/>
      <c r="AF19" s="4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U19" s="34" t="s">
        <v>97</v>
      </c>
      <c r="AV19" s="17" t="s">
        <v>55</v>
      </c>
      <c r="AW19" s="17">
        <v>500</v>
      </c>
      <c r="AX19" s="17" t="s">
        <v>56</v>
      </c>
      <c r="AY19" s="17" t="s">
        <v>54</v>
      </c>
      <c r="AZ19" s="148" t="s">
        <v>57</v>
      </c>
      <c r="BB19" s="144" t="s">
        <v>103</v>
      </c>
      <c r="BC19" s="145">
        <v>24</v>
      </c>
      <c r="BE19" s="72">
        <v>17</v>
      </c>
      <c r="BF19" s="203"/>
      <c r="BG19" s="159">
        <v>1.03</v>
      </c>
      <c r="BH19" s="70" t="s">
        <v>616</v>
      </c>
      <c r="BI19" s="38" t="s">
        <v>617</v>
      </c>
      <c r="BK19" s="447">
        <v>1</v>
      </c>
    </row>
    <row r="20" spans="1:63" ht="24.95" customHeight="1">
      <c r="A20" s="757"/>
      <c r="B20" s="27"/>
      <c r="C20" s="52" t="str">
        <f>UPPER(LEFT(C17,1)) &amp; " . " &amp; UPPER(LEFT(C17,1)) &amp; LOWER(MID(C17,2,999)) &amp; " . " &amp; UPPER(LEFT(F17,1)) &amp; LOWER(MID(F17,2,999)) &amp; " . " &amp; UPPER(LEFT(I17,1)) &amp; LOWER(MID(I17,2,999)) &amp; " . " &amp; "Verre " &amp; UPPER(LEFT(F18,1)) &amp; LOWER(MID(F18,2,999)) &amp; IF(LEFT(L17,1)=UPPER(LEFT(L17,1)),".","") &amp; UPPER(LEFT(L17,1)) &amp; LOWER(MID(L17,2,999))&amp;"  couleur"&amp;" "&amp;C18&amp;"  intensité"&amp;" "&amp;C19</f>
        <v>A . Americano . Avec alcool . Before dinner . Verre Tumbler (old fashioned).On the rocks  couleur rouge doux  intensité *** amer</v>
      </c>
      <c r="D20" s="52"/>
      <c r="E20" s="52"/>
      <c r="F20" s="52"/>
      <c r="G20" s="52"/>
      <c r="H20" s="52"/>
      <c r="I20" s="52"/>
      <c r="J20" s="52"/>
      <c r="K20" s="52"/>
      <c r="L20" s="30"/>
      <c r="M20" s="33"/>
      <c r="N20" s="3"/>
      <c r="O20" s="53" t="s">
        <v>104</v>
      </c>
      <c r="Q20" s="14" t="s">
        <v>105</v>
      </c>
      <c r="R20" s="49">
        <f>SUMIF(AJ27:AJ33,"VOLUME",AL27:AL33)</f>
        <v>150</v>
      </c>
      <c r="S20" s="50" t="s">
        <v>22</v>
      </c>
      <c r="T20" s="50"/>
      <c r="V20" s="44" t="s">
        <v>96</v>
      </c>
      <c r="W20" s="51">
        <f>I19</f>
        <v>15</v>
      </c>
      <c r="X20" s="46" t="str">
        <f>J19</f>
        <v>cl</v>
      </c>
      <c r="Y20" s="43"/>
      <c r="Z20" s="44" t="s">
        <v>82</v>
      </c>
      <c r="AA20" s="54" t="str">
        <f>F18</f>
        <v>Tumbler (Old Fashioned)</v>
      </c>
      <c r="AB20" s="43"/>
      <c r="AC20" s="44" t="s">
        <v>106</v>
      </c>
      <c r="AD20" s="45">
        <f>R27</f>
        <v>25</v>
      </c>
      <c r="AE20" s="46" t="s">
        <v>32</v>
      </c>
      <c r="AF20" s="4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U20" s="53" t="s">
        <v>104</v>
      </c>
      <c r="AV20" s="17" t="s">
        <v>21</v>
      </c>
      <c r="AW20" s="17">
        <v>5</v>
      </c>
      <c r="AX20" s="17" t="s">
        <v>22</v>
      </c>
      <c r="AY20" s="17" t="s">
        <v>107</v>
      </c>
      <c r="AZ20" s="153" t="s">
        <v>108</v>
      </c>
      <c r="BB20" s="144" t="s">
        <v>109</v>
      </c>
      <c r="BC20" s="145">
        <v>24</v>
      </c>
      <c r="BE20" s="72">
        <v>40</v>
      </c>
      <c r="BF20" s="203"/>
      <c r="BG20" s="159">
        <v>1.05</v>
      </c>
      <c r="BH20" s="70" t="s">
        <v>619</v>
      </c>
      <c r="BI20" s="38" t="s">
        <v>620</v>
      </c>
      <c r="BK20" s="447">
        <v>1</v>
      </c>
    </row>
    <row r="21" spans="1:63" ht="24.95" customHeight="1">
      <c r="A21" s="757"/>
      <c r="B21" s="27" t="s">
        <v>110</v>
      </c>
      <c r="C21" s="55" t="s">
        <v>111</v>
      </c>
      <c r="D21" s="55"/>
      <c r="E21" s="154"/>
      <c r="F21" s="154"/>
      <c r="G21" s="154"/>
      <c r="H21" s="154"/>
      <c r="I21" s="154"/>
      <c r="J21" s="154"/>
      <c r="K21" s="154"/>
      <c r="L21" s="30"/>
      <c r="M21" s="33"/>
      <c r="N21" s="3"/>
      <c r="O21" s="53" t="s">
        <v>112</v>
      </c>
      <c r="Q21" s="14" t="s">
        <v>113</v>
      </c>
      <c r="R21" s="49">
        <f>IF(OR(R20=0,NOT(ISNUMBER(I18)),I18&lt;=0),"",R20/I18/10)</f>
        <v>15</v>
      </c>
      <c r="S21" s="50" t="s">
        <v>32</v>
      </c>
      <c r="T21" s="50"/>
      <c r="V21" s="44" t="s">
        <v>114</v>
      </c>
      <c r="W21" s="51" t="str">
        <f>IF(I19="","",IF(R27="","⚠ À CONTRÔLER",IF(I19&lt;=R27,"✔ OK","❌ DÉPASSE CAPACITÉ")))</f>
        <v>✔ OK</v>
      </c>
      <c r="X21" s="43"/>
      <c r="Y21" s="43"/>
      <c r="Z21" s="44"/>
      <c r="AA21" s="56"/>
      <c r="AB21" s="43"/>
      <c r="AC21" s="43"/>
      <c r="AD21" s="46"/>
      <c r="AE21" s="46"/>
      <c r="AF21" s="4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U21" s="53" t="s">
        <v>112</v>
      </c>
      <c r="AV21" s="17" t="s">
        <v>21</v>
      </c>
      <c r="AW21" s="17">
        <v>5</v>
      </c>
      <c r="AX21" s="17" t="s">
        <v>22</v>
      </c>
      <c r="AY21" s="17" t="s">
        <v>115</v>
      </c>
      <c r="AZ21" s="153" t="s">
        <v>108</v>
      </c>
      <c r="BB21" s="144" t="s">
        <v>116</v>
      </c>
      <c r="BC21" s="145">
        <v>50</v>
      </c>
      <c r="BE21" s="72">
        <v>25</v>
      </c>
      <c r="BF21" s="203"/>
      <c r="BG21" s="159">
        <v>1.05</v>
      </c>
      <c r="BH21" s="70" t="s">
        <v>155</v>
      </c>
      <c r="BI21" s="38" t="s">
        <v>625</v>
      </c>
      <c r="BK21" s="447">
        <v>1</v>
      </c>
    </row>
    <row r="22" spans="1:63" ht="24.95" customHeight="1">
      <c r="A22" s="757"/>
      <c r="B22" s="30"/>
      <c r="C22" s="30"/>
      <c r="D22" s="30"/>
      <c r="E22" s="30"/>
      <c r="F22" s="30"/>
      <c r="G22" s="30"/>
      <c r="H22" s="206"/>
      <c r="I22" s="30"/>
      <c r="J22" s="30"/>
      <c r="K22" s="30"/>
      <c r="L22" s="30"/>
      <c r="M22" s="33"/>
      <c r="N22" s="3"/>
      <c r="O22" s="53" t="s">
        <v>117</v>
      </c>
      <c r="Q22" s="14" t="s">
        <v>118</v>
      </c>
      <c r="R22" s="155">
        <f>IF(AN34=0,"",SUM(AQ27:AQ33)/AN34*100)</f>
        <v>13.333333333333334</v>
      </c>
      <c r="S22" s="50" t="s">
        <v>88</v>
      </c>
      <c r="T22" s="50"/>
      <c r="V22" s="44" t="s">
        <v>110</v>
      </c>
      <c r="W22" s="46" t="str">
        <f>C21</f>
        <v>Apéritif classique à base de vermouth et de Bitter</v>
      </c>
      <c r="X22" s="43"/>
      <c r="Y22" s="43"/>
      <c r="Z22" s="44"/>
      <c r="AA22" s="56"/>
      <c r="AB22" s="43"/>
      <c r="AC22" s="43"/>
      <c r="AD22" s="46"/>
      <c r="AE22" s="46"/>
      <c r="AF22" s="4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U22" s="53" t="s">
        <v>117</v>
      </c>
      <c r="AV22" s="17" t="s">
        <v>21</v>
      </c>
      <c r="AW22" s="17">
        <v>15</v>
      </c>
      <c r="AX22" s="17" t="s">
        <v>22</v>
      </c>
      <c r="AY22" s="17" t="s">
        <v>119</v>
      </c>
      <c r="AZ22" s="153" t="s">
        <v>108</v>
      </c>
      <c r="BB22" s="144" t="s">
        <v>120</v>
      </c>
      <c r="BC22" s="145">
        <v>50</v>
      </c>
      <c r="BE22" s="72">
        <v>25</v>
      </c>
      <c r="BF22" s="203"/>
      <c r="BG22" s="159">
        <v>1.05</v>
      </c>
      <c r="BH22" s="70" t="s">
        <v>627</v>
      </c>
      <c r="BI22" s="38" t="s">
        <v>628</v>
      </c>
      <c r="BK22" s="447">
        <v>1</v>
      </c>
    </row>
    <row r="23" spans="1:63" ht="24.95" customHeight="1">
      <c r="A23" s="757"/>
      <c r="B23" s="57" t="s">
        <v>121</v>
      </c>
      <c r="C23" s="58" t="s">
        <v>122</v>
      </c>
      <c r="D23" s="58"/>
      <c r="E23" s="59"/>
      <c r="F23" s="57" t="s">
        <v>123</v>
      </c>
      <c r="G23" s="58" t="s">
        <v>124</v>
      </c>
      <c r="H23" s="60"/>
      <c r="I23" s="60"/>
      <c r="J23" s="61"/>
      <c r="K23" s="61"/>
      <c r="L23" s="61"/>
      <c r="M23" s="62"/>
      <c r="N23" s="3"/>
      <c r="O23" s="53" t="s">
        <v>125</v>
      </c>
      <c r="Q23" s="14" t="s">
        <v>126</v>
      </c>
      <c r="R23" s="156">
        <f>SUM(AR27:AR33)</f>
        <v>16.25</v>
      </c>
      <c r="S23" s="50" t="s">
        <v>90</v>
      </c>
      <c r="T23" s="50"/>
      <c r="V23" s="44" t="s">
        <v>121</v>
      </c>
      <c r="W23" s="46" t="str">
        <f>C23</f>
        <v>Destination Cocktails</v>
      </c>
      <c r="X23" s="43"/>
      <c r="Y23" s="43"/>
      <c r="Z23" s="44" t="s">
        <v>94</v>
      </c>
      <c r="AA23" s="54" t="str">
        <f>C19</f>
        <v>*** amer</v>
      </c>
      <c r="AB23" s="43"/>
      <c r="AC23" s="759" t="str">
        <f>UPPER(LEFT(C17,1))&amp;" . "&amp;UPPER(LEFT(C17,1))&amp;LOWER(MID(C17,2,999))&amp;" . "&amp;UPPER(LEFT(F17,1))&amp;LOWER(MID(F17,2,999))&amp;" . "&amp;UPPER(LEFT(I17,1))&amp;LOWER(MID(I17,2,999))&amp;" . "&amp;"Verre "&amp;UPPER(LEFT(F18,1))&amp;LOWER(MID(F18,2,999))&amp;IF(LEFT(L17,1)=UPPER(LEFT(L17,1)),".","")&amp;UPPER(LEFT(L17,1))&amp;LOWER(MID(L17,2,999))&amp;"  couleur "&amp;C18&amp;"  intensité "&amp;C19</f>
        <v>A . Americano . Avec alcool . Before dinner . Verre Tumbler (old fashioned).On the rocks  couleur rouge doux  intensité *** amer</v>
      </c>
      <c r="AD23" s="759"/>
      <c r="AE23" s="759"/>
      <c r="AF23" s="759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U23" s="53" t="s">
        <v>488</v>
      </c>
      <c r="AV23" s="17" t="s">
        <v>127</v>
      </c>
      <c r="AW23" s="17">
        <v>1</v>
      </c>
      <c r="AX23" s="17" t="s">
        <v>128</v>
      </c>
      <c r="AY23" s="17" t="s">
        <v>489</v>
      </c>
      <c r="AZ23" s="153" t="s">
        <v>139</v>
      </c>
      <c r="BB23" s="144" t="s">
        <v>130</v>
      </c>
      <c r="BC23" s="145">
        <v>21.5</v>
      </c>
      <c r="BE23" s="72">
        <v>15</v>
      </c>
      <c r="BF23" s="203"/>
      <c r="BG23" s="159">
        <v>1.02</v>
      </c>
      <c r="BH23" s="70" t="s">
        <v>630</v>
      </c>
      <c r="BI23" s="38" t="s">
        <v>628</v>
      </c>
      <c r="BK23" s="447">
        <v>1</v>
      </c>
    </row>
    <row r="24" spans="1:63" ht="24.95" customHeight="1">
      <c r="A24" s="757"/>
      <c r="B24" s="10" t="s">
        <v>131</v>
      </c>
      <c r="C24" s="10" t="s">
        <v>132</v>
      </c>
      <c r="D24" s="10"/>
      <c r="E24" s="10"/>
      <c r="F24" s="10"/>
      <c r="G24" s="10"/>
      <c r="H24" s="10"/>
      <c r="I24" s="10"/>
      <c r="J24" s="11" t="str">
        <f>IF(COUNTIF(C26:C32,"*~**")+COUNTIF(C26:C32,"*~?*")=0,"",IF(COUNTIF(C26:C32,"*~**")&gt;0,COUNTIF(C26:C32,"*~**")&amp;" allergène"&amp;IF(COUNTIF(C26:C32,"*~**")&gt;1,"s","")&amp;" repéré"&amp;IF(COUNTIF(C26:C32,"*~**")&gt;1,"s","")&amp;" par *","")&amp;IF(AND(COUNTIF(C26:C32,"*~**")&gt;0,COUNTIF(C26:C32,"*~?*")&gt;0)," | ","")&amp;IF(COUNTIF(C26:C32,"*~?*")&gt;0,COUNTIF(C26:C32,"*~?*")&amp;" produit"&amp;IF(COUNTIF(C26:C32,"*~?*")&gt;1,"s","")&amp;" à vérifier par ?",""))</f>
        <v>1 allergène repéré par *</v>
      </c>
      <c r="K24" s="10"/>
      <c r="L24" s="10"/>
      <c r="M24" s="63"/>
      <c r="N24" s="3"/>
      <c r="O24" s="53" t="s">
        <v>133</v>
      </c>
      <c r="Q24" s="14" t="s">
        <v>134</v>
      </c>
      <c r="R24" s="156">
        <f>IF(OR(R23="",R25="",R25=0),"",R23/R25)</f>
        <v>1.625</v>
      </c>
      <c r="S24" s="50" t="s">
        <v>135</v>
      </c>
      <c r="T24" s="50"/>
      <c r="V24" s="852" t="s">
        <v>136</v>
      </c>
      <c r="W24" s="853">
        <f>R23</f>
        <v>16.25</v>
      </c>
      <c r="X24" s="854" t="s">
        <v>90</v>
      </c>
      <c r="Y24" s="43"/>
      <c r="Z24" s="44" t="s">
        <v>137</v>
      </c>
      <c r="AA24" s="54" t="str">
        <f>C17</f>
        <v>AMERICANO</v>
      </c>
      <c r="AB24" s="43"/>
      <c r="AC24" s="759"/>
      <c r="AD24" s="759"/>
      <c r="AE24" s="759"/>
      <c r="AF24" s="759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U24" s="53" t="s">
        <v>133</v>
      </c>
      <c r="AV24" s="17" t="s">
        <v>127</v>
      </c>
      <c r="AW24" s="17">
        <v>1</v>
      </c>
      <c r="AX24" s="17" t="s">
        <v>128</v>
      </c>
      <c r="AY24" s="17" t="s">
        <v>138</v>
      </c>
      <c r="AZ24" s="157" t="s">
        <v>139</v>
      </c>
      <c r="BB24" s="144" t="s">
        <v>140</v>
      </c>
      <c r="BC24" s="145">
        <v>20</v>
      </c>
      <c r="BE24" s="72">
        <v>35</v>
      </c>
      <c r="BF24" s="203"/>
      <c r="BG24" s="159">
        <v>1.04</v>
      </c>
      <c r="BH24" s="70" t="s">
        <v>635</v>
      </c>
      <c r="BI24" s="38" t="s">
        <v>636</v>
      </c>
      <c r="BK24" s="447">
        <v>1</v>
      </c>
    </row>
    <row r="25" spans="1:63" ht="24.95" customHeight="1">
      <c r="A25" s="757"/>
      <c r="B25" s="66">
        <v>0</v>
      </c>
      <c r="C25" s="64" t="s">
        <v>141</v>
      </c>
      <c r="D25" s="65" t="s">
        <v>142</v>
      </c>
      <c r="E25" s="64" t="s">
        <v>9</v>
      </c>
      <c r="F25" s="66" t="s">
        <v>143</v>
      </c>
      <c r="G25" s="66" t="s">
        <v>144</v>
      </c>
      <c r="H25" s="66" t="s">
        <v>145</v>
      </c>
      <c r="I25" s="67" t="s">
        <v>146</v>
      </c>
      <c r="J25" s="67" t="s">
        <v>847</v>
      </c>
      <c r="K25" s="67" t="s">
        <v>148</v>
      </c>
      <c r="L25" s="67" t="s">
        <v>149</v>
      </c>
      <c r="M25" s="68" t="s">
        <v>150</v>
      </c>
      <c r="N25" s="3"/>
      <c r="O25" s="53" t="s">
        <v>151</v>
      </c>
      <c r="Q25" s="14" t="s">
        <v>152</v>
      </c>
      <c r="R25" s="49">
        <f>IF(AND(ISNUMBER(R18),R18&gt;0,ISNUMBER(I19),I19&gt;0),R18*1000/(I19*10),IF(AND(ISNUMBER(R17),R17&gt;0),R17,""))</f>
        <v>10</v>
      </c>
      <c r="S25" s="50" t="s">
        <v>76</v>
      </c>
      <c r="T25" s="50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H25" s="25" t="s">
        <v>153</v>
      </c>
      <c r="AI25" s="25"/>
      <c r="AJ25" s="25" t="s">
        <v>490</v>
      </c>
      <c r="AK25" s="25"/>
      <c r="AL25" s="25"/>
      <c r="AM25" s="25"/>
      <c r="AN25" s="26"/>
      <c r="AO25" s="26"/>
      <c r="AP25" s="26"/>
      <c r="AQ25" s="26"/>
      <c r="AR25" s="26"/>
      <c r="AS25" s="26"/>
      <c r="AU25" s="53" t="s">
        <v>151</v>
      </c>
      <c r="AV25" s="17" t="s">
        <v>127</v>
      </c>
      <c r="AW25" s="17">
        <v>1</v>
      </c>
      <c r="AX25" s="17" t="s">
        <v>128</v>
      </c>
      <c r="AY25" s="17" t="s">
        <v>138</v>
      </c>
      <c r="AZ25" s="157" t="s">
        <v>139</v>
      </c>
      <c r="BB25" s="144" t="s">
        <v>154</v>
      </c>
      <c r="BC25" s="145">
        <v>18</v>
      </c>
      <c r="BE25" s="72">
        <v>40</v>
      </c>
      <c r="BF25" s="203"/>
      <c r="BG25" s="159">
        <v>0.94</v>
      </c>
      <c r="BH25" s="70" t="s">
        <v>637</v>
      </c>
      <c r="BI25" s="38" t="s">
        <v>595</v>
      </c>
      <c r="BK25" s="447">
        <v>1</v>
      </c>
    </row>
    <row r="26" spans="1:63" ht="24.95" customHeight="1">
      <c r="A26" s="757"/>
      <c r="B26" s="158">
        <v>1</v>
      </c>
      <c r="C26" s="70" t="s">
        <v>155</v>
      </c>
      <c r="D26" s="71">
        <v>5</v>
      </c>
      <c r="E26" s="18" t="s">
        <v>32</v>
      </c>
      <c r="F26" s="72">
        <v>25</v>
      </c>
      <c r="G26" s="159">
        <v>1.05</v>
      </c>
      <c r="H26" s="160" t="s">
        <v>156</v>
      </c>
      <c r="I26" s="161">
        <v>18</v>
      </c>
      <c r="J26" s="73" t="s">
        <v>849</v>
      </c>
      <c r="K26" s="73"/>
      <c r="L26" s="73"/>
      <c r="M26" s="74"/>
      <c r="N26" s="3"/>
      <c r="O26" s="53" t="s">
        <v>157</v>
      </c>
      <c r="Q26" s="14" t="s">
        <v>158</v>
      </c>
      <c r="R26" s="75" t="str">
        <f>IF(AND(ISNUMBER(R18),R18&gt;0),"VOLUME TOTAL",IF(AND(ISNUMBER(R17),R17&gt;0),"NOMBRE DE COCKTAILS","RÉFÉRENCE"))</f>
        <v>NOMBRE DE COCKTAILS</v>
      </c>
      <c r="S26" s="50"/>
      <c r="T26" s="50"/>
      <c r="V26" s="831" t="s">
        <v>159</v>
      </c>
      <c r="W26" s="36" t="s">
        <v>160</v>
      </c>
      <c r="X26" s="76" t="s">
        <v>161</v>
      </c>
      <c r="Y26" s="835" t="s">
        <v>162</v>
      </c>
      <c r="Z26" s="838" t="s">
        <v>163</v>
      </c>
      <c r="AA26" s="36" t="s">
        <v>164</v>
      </c>
      <c r="AB26" s="36" t="s">
        <v>9</v>
      </c>
      <c r="AC26" s="841" t="s">
        <v>165</v>
      </c>
      <c r="AD26" s="296" t="s">
        <v>166</v>
      </c>
      <c r="AE26" s="36" t="s">
        <v>146</v>
      </c>
      <c r="AF26" s="833" t="s">
        <v>167</v>
      </c>
      <c r="AH26" s="77" t="s">
        <v>168</v>
      </c>
      <c r="AI26" s="78" t="s">
        <v>159</v>
      </c>
      <c r="AJ26" s="77" t="s">
        <v>10</v>
      </c>
      <c r="AK26" s="77" t="s">
        <v>169</v>
      </c>
      <c r="AL26" s="77" t="s">
        <v>170</v>
      </c>
      <c r="AM26" s="77" t="s">
        <v>91</v>
      </c>
      <c r="AN26" s="78" t="s">
        <v>161</v>
      </c>
      <c r="AO26" s="77" t="s">
        <v>171</v>
      </c>
      <c r="AP26" s="77" t="s">
        <v>172</v>
      </c>
      <c r="AQ26" s="77" t="s">
        <v>165</v>
      </c>
      <c r="AR26" s="77" t="s">
        <v>167</v>
      </c>
      <c r="AS26" s="77" t="s">
        <v>173</v>
      </c>
      <c r="AU26" s="53" t="s">
        <v>157</v>
      </c>
      <c r="AV26" s="17" t="s">
        <v>127</v>
      </c>
      <c r="AW26" s="17">
        <v>1</v>
      </c>
      <c r="AX26" s="17" t="s">
        <v>128</v>
      </c>
      <c r="AY26" s="17" t="s">
        <v>174</v>
      </c>
      <c r="AZ26" s="157" t="s">
        <v>139</v>
      </c>
      <c r="BB26" s="144" t="s">
        <v>175</v>
      </c>
      <c r="BC26" s="145">
        <v>35</v>
      </c>
      <c r="BE26" s="72">
        <v>40</v>
      </c>
      <c r="BF26" s="203"/>
      <c r="BG26" s="159">
        <v>0.96</v>
      </c>
      <c r="BH26" s="70" t="s">
        <v>639</v>
      </c>
      <c r="BI26" s="38" t="s">
        <v>595</v>
      </c>
      <c r="BK26" s="447">
        <v>1</v>
      </c>
    </row>
    <row r="27" spans="1:63" ht="24.95" customHeight="1">
      <c r="A27" s="757"/>
      <c r="B27" s="162">
        <v>2</v>
      </c>
      <c r="C27" s="70" t="s">
        <v>176</v>
      </c>
      <c r="D27" s="79">
        <v>5</v>
      </c>
      <c r="E27" s="18" t="s">
        <v>32</v>
      </c>
      <c r="F27" s="72">
        <v>15</v>
      </c>
      <c r="G27" s="159">
        <v>1.02</v>
      </c>
      <c r="H27" s="160" t="s">
        <v>156</v>
      </c>
      <c r="I27" s="161">
        <v>9</v>
      </c>
      <c r="J27" s="73"/>
      <c r="K27" s="73"/>
      <c r="L27" s="73"/>
      <c r="M27" s="74"/>
      <c r="N27" s="3"/>
      <c r="O27" s="53" t="s">
        <v>177</v>
      </c>
      <c r="Q27" s="14" t="s">
        <v>35</v>
      </c>
      <c r="R27" s="35">
        <f>IFERROR(VLOOKUP(F18,$BB$5:$BC$40,2,FALSE),"")</f>
        <v>25</v>
      </c>
      <c r="S27" s="50" t="s">
        <v>32</v>
      </c>
      <c r="T27" s="50"/>
      <c r="V27" s="846" t="str">
        <f t="shared" ref="V27:V33" si="0">IF(AI27="","",AI27)</f>
        <v>Bitter Campari</v>
      </c>
      <c r="W27" s="848" t="str">
        <f t="shared" ref="W27:W33" si="1">IF(C26="","",IF(H26="QS","QS",D26&amp;" "&amp;E26))</f>
        <v>5 cl</v>
      </c>
      <c r="X27" s="81">
        <f t="shared" ref="X27:X33" si="2">IF(AN27="","",AN27)</f>
        <v>500</v>
      </c>
      <c r="Y27" s="836" t="str">
        <f t="shared" ref="Y27:Y33" si="3">IF(C26="","",IF(H26="QS","Qt. suffisante",IF(AN27="","",IF(AJ27="VOLUME",IF(AN27&gt;=1000,TEXT(AO27,"0.00")&amp;" "&amp;AP27,IF(AN27&gt;=10,TEXT(AO27,"0.0")&amp;" "&amp;AP27&amp;" ► "&amp;TEXT(AN27/1000,"0.000")&amp;" L",TEXT(AO27,"0.0")&amp;" "&amp;AP27)),IF(AJ27="MASSE",TEXT(AO27,"0.00")&amp;" "&amp;AP27,AO27&amp;" "&amp;AP27)))))</f>
        <v>50.0 cl ► 0.500 L</v>
      </c>
      <c r="Z27" s="839" t="str">
        <f>IF(OR(C26="",AJ27&lt;&gt;"VOLUME",AN34=0),"","≈ "&amp;TEXT(ROUND(AN27/AN34*10*2,0)/2,"0.0")&amp;"/10")</f>
        <v>≈ 3.5/10</v>
      </c>
      <c r="AA27" s="82" t="str">
        <f t="shared" ref="AA27:AA33" si="4">IF(AJ27="AUTRE",AO27,"")</f>
        <v/>
      </c>
      <c r="AB27" s="83" t="str">
        <f t="shared" ref="AB27:AB33" si="5">IF(C26="","",AP27)</f>
        <v>cl</v>
      </c>
      <c r="AC27" s="842">
        <f t="shared" ref="AC27:AC33" si="6">IF(C26="","",AQ27)</f>
        <v>125</v>
      </c>
      <c r="AD27" s="163">
        <f t="shared" ref="AD27:AD33" si="7">IF(C26="","",IF(ISNUMBER(F26),F26,0))</f>
        <v>25</v>
      </c>
      <c r="AE27" s="164">
        <f t="shared" ref="AE27:AE33" si="8">IF(C26="","",IF(ISNUMBER(I26),I26,""))</f>
        <v>18</v>
      </c>
      <c r="AF27" s="855">
        <f t="shared" ref="AF27:AF33" si="9">IF(C26="","",AR27)</f>
        <v>9</v>
      </c>
      <c r="AH27" s="84">
        <f t="shared" ref="AH27:AH33" si="10">IF(C26="","",B26)</f>
        <v>1</v>
      </c>
      <c r="AI27" s="85" t="str">
        <f t="shared" ref="AI27:AI33" si="11">IF(C26="","",C26)</f>
        <v>Bitter Campari</v>
      </c>
      <c r="AJ27" s="84" t="str">
        <f t="shared" ref="AJ27:AJ33" si="12">IF(C26="","",IFERROR(VLOOKUP(E26,$AU$5:$AY$121,2,FALSE),"UNITÉ ?"))</f>
        <v>VOLUME</v>
      </c>
      <c r="AK27" s="84">
        <f t="shared" ref="AK27:AK33" si="13">IF(C26="","",IFERROR(VLOOKUP(E26,$AU$5:$AY$121,3,FALSE),""))</f>
        <v>10</v>
      </c>
      <c r="AL27" s="84">
        <f t="shared" ref="AL27:AL33" si="14">IF(OR(C26="",H26="QS",NOT(ISNUMBER(D26))),"",D26*AK27)</f>
        <v>50</v>
      </c>
      <c r="AM27" s="84">
        <f>IF(C26="","",R19)</f>
        <v>10</v>
      </c>
      <c r="AN27" s="84">
        <f t="shared" ref="AN27:AN33" si="15">IF(C26="","",IF(H26="QS","",IF(AL27="","",IF(OR(H26="F",H26="FIXE"),AL27,AL27*AM27))))</f>
        <v>500</v>
      </c>
      <c r="AO27" s="84">
        <f t="shared" ref="AO27:AO33" si="16">IF(C26="","",IF(H26="QS","",IF(AN27="","",IF(AJ27="VOLUME",IF(AN27&gt;=1000,ROUND(AN27/1000,2),IF(AN27&gt;=10,ROUND(AN27/10,1),ROUND(AN27,1))),IF(AJ27="MASSE",IF(AN27&gt;=1000,ROUND(AN27/1000,2),ROUND(AN27,0)),ROUND(AN27,2))))))</f>
        <v>50</v>
      </c>
      <c r="AP27" s="84" t="str">
        <f t="shared" ref="AP27:AP33" si="17">IF(C26="","",IF(H26="QS","",IF(AN27="","",IF(AJ27="VOLUME",IF(AN27&gt;=1000,"L",IF(AN27&gt;=10,"cl","ml")),IF(AJ27="MASSE",IF(AN27&gt;=1000,"Kg","g"),IFERROR(VLOOKUP(E26,$AU$5:$AY$121,5,FALSE),E26))))))</f>
        <v>cl</v>
      </c>
      <c r="AQ27" s="84">
        <f t="shared" ref="AQ27:AQ33" si="18">IF(C26="","",IF(OR(AJ27&lt;&gt;"VOLUME",NOT(ISNUMBER(F26)),AN27=""),0,AN27*F26/100))</f>
        <v>125</v>
      </c>
      <c r="AR27" s="84">
        <f t="shared" ref="AR27:AR33" si="19">IF(C26="","",IF(H26="QS",0,IF(NOT(ISNUMBER(I26)),0,IF(OR(AJ27="VOLUME",AJ27="MASSE"),AN27/1000*I26,AN27*I26))))</f>
        <v>9</v>
      </c>
      <c r="AS27" s="84" t="str">
        <f t="shared" ref="AS27:AS33" si="20">IF(C26="","",IF(H26="QS","OK",IF(NOT(ISNUMBER(D26)),"QUANTITÉ ?",IF(E26="","UNITÉ ?",IF(AJ27="UNITÉ ?","UNITÉ ?",IF(AND(H26&lt;&gt;"",H26&lt;&gt;"PROP",H26&lt;&gt;"F",H26&lt;&gt;"FIXE",H26&lt;&gt;"QS"),"RÈGLE ?","OK"))))))</f>
        <v>OK</v>
      </c>
      <c r="AU27" s="53" t="s">
        <v>177</v>
      </c>
      <c r="AV27" s="17" t="s">
        <v>127</v>
      </c>
      <c r="AW27" s="17">
        <v>1</v>
      </c>
      <c r="AX27" s="17" t="s">
        <v>128</v>
      </c>
      <c r="AY27" s="17" t="s">
        <v>178</v>
      </c>
      <c r="AZ27" s="157" t="s">
        <v>139</v>
      </c>
      <c r="BB27" s="144" t="s">
        <v>179</v>
      </c>
      <c r="BC27" s="145">
        <v>15</v>
      </c>
      <c r="BE27" s="72">
        <v>30</v>
      </c>
      <c r="BF27" s="203"/>
      <c r="BG27" s="159">
        <v>1.04</v>
      </c>
      <c r="BH27" s="70" t="s">
        <v>644</v>
      </c>
      <c r="BI27" s="38" t="s">
        <v>645</v>
      </c>
      <c r="BK27" s="447">
        <v>1</v>
      </c>
    </row>
    <row r="28" spans="1:63" ht="24.95" customHeight="1">
      <c r="A28" s="757"/>
      <c r="B28" s="158">
        <v>3</v>
      </c>
      <c r="C28" s="70" t="s">
        <v>180</v>
      </c>
      <c r="D28" s="79">
        <v>5</v>
      </c>
      <c r="E28" s="18" t="s">
        <v>32</v>
      </c>
      <c r="F28" s="72">
        <v>0</v>
      </c>
      <c r="G28" s="159">
        <v>1</v>
      </c>
      <c r="H28" s="160" t="s">
        <v>156</v>
      </c>
      <c r="I28" s="161">
        <v>0.5</v>
      </c>
      <c r="J28" s="73"/>
      <c r="K28" s="73" t="s">
        <v>848</v>
      </c>
      <c r="L28" s="73"/>
      <c r="M28" s="74"/>
      <c r="N28" s="3"/>
      <c r="O28" s="53" t="s">
        <v>181</v>
      </c>
      <c r="V28" s="846" t="str">
        <f t="shared" si="0"/>
        <v>Vermouth italien</v>
      </c>
      <c r="W28" s="848" t="str">
        <f t="shared" si="1"/>
        <v>5 cl</v>
      </c>
      <c r="X28" s="81">
        <f t="shared" si="2"/>
        <v>500</v>
      </c>
      <c r="Y28" s="836" t="str">
        <f t="shared" si="3"/>
        <v>50.0 cl ► 0.500 L</v>
      </c>
      <c r="Z28" s="839" t="str">
        <f>IF(OR(C27="",AJ28&lt;&gt;"VOLUME",AN34=0),"","≈ "&amp;TEXT(ROUND(AN28/AN34*10*2,0)/2,"0.0")&amp;"/10")</f>
        <v>≈ 3.5/10</v>
      </c>
      <c r="AA28" s="82" t="str">
        <f t="shared" si="4"/>
        <v/>
      </c>
      <c r="AB28" s="83" t="str">
        <f t="shared" si="5"/>
        <v>cl</v>
      </c>
      <c r="AC28" s="842">
        <f t="shared" si="6"/>
        <v>75</v>
      </c>
      <c r="AD28" s="163">
        <f t="shared" si="7"/>
        <v>15</v>
      </c>
      <c r="AE28" s="164">
        <f t="shared" si="8"/>
        <v>9</v>
      </c>
      <c r="AF28" s="855">
        <f t="shared" si="9"/>
        <v>4.5</v>
      </c>
      <c r="AH28" s="84">
        <f t="shared" si="10"/>
        <v>2</v>
      </c>
      <c r="AI28" s="85" t="str">
        <f t="shared" si="11"/>
        <v>Vermouth italien</v>
      </c>
      <c r="AJ28" s="84" t="str">
        <f t="shared" si="12"/>
        <v>VOLUME</v>
      </c>
      <c r="AK28" s="84">
        <f t="shared" si="13"/>
        <v>10</v>
      </c>
      <c r="AL28" s="84">
        <f t="shared" si="14"/>
        <v>50</v>
      </c>
      <c r="AM28" s="84">
        <f>IF(C27="","",R19)</f>
        <v>10</v>
      </c>
      <c r="AN28" s="84">
        <f t="shared" si="15"/>
        <v>500</v>
      </c>
      <c r="AO28" s="84">
        <f t="shared" si="16"/>
        <v>50</v>
      </c>
      <c r="AP28" s="84" t="str">
        <f t="shared" si="17"/>
        <v>cl</v>
      </c>
      <c r="AQ28" s="84">
        <f t="shared" si="18"/>
        <v>75</v>
      </c>
      <c r="AR28" s="84">
        <f t="shared" si="19"/>
        <v>4.5</v>
      </c>
      <c r="AS28" s="84" t="str">
        <f t="shared" si="20"/>
        <v>OK</v>
      </c>
      <c r="AU28" s="53" t="s">
        <v>181</v>
      </c>
      <c r="AV28" s="17" t="s">
        <v>127</v>
      </c>
      <c r="AW28" s="17">
        <v>1</v>
      </c>
      <c r="AX28" s="17" t="s">
        <v>128</v>
      </c>
      <c r="AY28" s="17" t="s">
        <v>182</v>
      </c>
      <c r="AZ28" s="157" t="s">
        <v>139</v>
      </c>
      <c r="BB28" s="144" t="s">
        <v>183</v>
      </c>
      <c r="BC28" s="145">
        <v>57</v>
      </c>
      <c r="BE28" s="72">
        <v>30</v>
      </c>
      <c r="BF28" s="203"/>
      <c r="BG28" s="159">
        <v>1.04</v>
      </c>
      <c r="BH28" s="70" t="s">
        <v>647</v>
      </c>
      <c r="BI28" s="38" t="s">
        <v>620</v>
      </c>
      <c r="BK28" s="447">
        <v>1</v>
      </c>
    </row>
    <row r="29" spans="1:63" ht="24.95" customHeight="1">
      <c r="A29" s="757"/>
      <c r="B29" s="162">
        <v>4</v>
      </c>
      <c r="C29" s="70" t="s">
        <v>843</v>
      </c>
      <c r="D29" s="79">
        <v>1</v>
      </c>
      <c r="E29" s="53" t="s">
        <v>184</v>
      </c>
      <c r="F29" s="72"/>
      <c r="G29" s="159">
        <v>1</v>
      </c>
      <c r="H29" s="160" t="s">
        <v>156</v>
      </c>
      <c r="I29" s="161">
        <v>0.25</v>
      </c>
      <c r="J29" s="73"/>
      <c r="K29" s="73"/>
      <c r="L29" s="73"/>
      <c r="M29" s="74"/>
      <c r="N29" s="3"/>
      <c r="O29" s="53" t="s">
        <v>185</v>
      </c>
      <c r="Q29" s="744" t="s">
        <v>566</v>
      </c>
      <c r="V29" s="846" t="str">
        <f t="shared" si="0"/>
        <v>Eau gazeuse</v>
      </c>
      <c r="W29" s="848" t="str">
        <f t="shared" si="1"/>
        <v>5 cl</v>
      </c>
      <c r="X29" s="81">
        <f t="shared" si="2"/>
        <v>500</v>
      </c>
      <c r="Y29" s="836" t="str">
        <f t="shared" si="3"/>
        <v>50.0 cl ► 0.500 L</v>
      </c>
      <c r="Z29" s="839" t="str">
        <f>IF(OR(C28="",AJ29&lt;&gt;"VOLUME",AN34=0),"","≈ "&amp;TEXT(ROUND(AN29/AN34*10*2,0)/2,"0.0")&amp;"/10")</f>
        <v>≈ 3.5/10</v>
      </c>
      <c r="AA29" s="82" t="str">
        <f t="shared" si="4"/>
        <v/>
      </c>
      <c r="AB29" s="83" t="str">
        <f t="shared" si="5"/>
        <v>cl</v>
      </c>
      <c r="AC29" s="842">
        <f t="shared" si="6"/>
        <v>0</v>
      </c>
      <c r="AD29" s="163">
        <f t="shared" si="7"/>
        <v>0</v>
      </c>
      <c r="AE29" s="164">
        <f t="shared" si="8"/>
        <v>0.5</v>
      </c>
      <c r="AF29" s="855">
        <f t="shared" si="9"/>
        <v>0.25</v>
      </c>
      <c r="AH29" s="84">
        <f t="shared" si="10"/>
        <v>3</v>
      </c>
      <c r="AI29" s="85" t="str">
        <f t="shared" si="11"/>
        <v>Eau gazeuse</v>
      </c>
      <c r="AJ29" s="84" t="str">
        <f t="shared" si="12"/>
        <v>VOLUME</v>
      </c>
      <c r="AK29" s="84">
        <f t="shared" si="13"/>
        <v>10</v>
      </c>
      <c r="AL29" s="84">
        <f t="shared" si="14"/>
        <v>50</v>
      </c>
      <c r="AM29" s="84">
        <f>IF(C28="","",R19)</f>
        <v>10</v>
      </c>
      <c r="AN29" s="84">
        <f t="shared" si="15"/>
        <v>500</v>
      </c>
      <c r="AO29" s="84">
        <f t="shared" si="16"/>
        <v>50</v>
      </c>
      <c r="AP29" s="84" t="str">
        <f t="shared" si="17"/>
        <v>cl</v>
      </c>
      <c r="AQ29" s="84">
        <f t="shared" si="18"/>
        <v>0</v>
      </c>
      <c r="AR29" s="84">
        <f t="shared" si="19"/>
        <v>0.25</v>
      </c>
      <c r="AS29" s="84" t="str">
        <f t="shared" si="20"/>
        <v>OK</v>
      </c>
      <c r="AU29" s="53" t="s">
        <v>185</v>
      </c>
      <c r="AV29" s="17" t="s">
        <v>127</v>
      </c>
      <c r="AW29" s="17">
        <v>1</v>
      </c>
      <c r="AX29" s="17" t="s">
        <v>128</v>
      </c>
      <c r="AY29" s="17" t="s">
        <v>186</v>
      </c>
      <c r="AZ29" s="157" t="s">
        <v>139</v>
      </c>
      <c r="BB29" s="144" t="s">
        <v>187</v>
      </c>
      <c r="BC29" s="145">
        <v>47</v>
      </c>
      <c r="BE29" s="72">
        <v>40</v>
      </c>
      <c r="BF29" s="203"/>
      <c r="BG29" s="159">
        <v>0.94</v>
      </c>
      <c r="BH29" s="70" t="s">
        <v>649</v>
      </c>
      <c r="BI29" s="38" t="s">
        <v>650</v>
      </c>
      <c r="BK29" s="447">
        <v>1</v>
      </c>
    </row>
    <row r="30" spans="1:63" ht="24.95" customHeight="1">
      <c r="A30" s="757"/>
      <c r="B30" s="158">
        <v>5</v>
      </c>
      <c r="C30" s="70" t="s">
        <v>188</v>
      </c>
      <c r="D30" s="79"/>
      <c r="E30" s="53" t="s">
        <v>151</v>
      </c>
      <c r="F30" s="72"/>
      <c r="G30" s="159">
        <v>1</v>
      </c>
      <c r="H30" s="160" t="s">
        <v>151</v>
      </c>
      <c r="I30" s="161">
        <v>0</v>
      </c>
      <c r="J30" s="73"/>
      <c r="K30" s="73"/>
      <c r="L30" s="73"/>
      <c r="M30" s="74"/>
      <c r="N30" s="3"/>
      <c r="O30" s="53" t="s">
        <v>189</v>
      </c>
      <c r="Q30" s="744"/>
      <c r="V30" s="846" t="str">
        <f t="shared" si="0"/>
        <v>Tranche d'orange*</v>
      </c>
      <c r="W30" s="848" t="str">
        <f t="shared" si="1"/>
        <v>1 Tranche(s)</v>
      </c>
      <c r="X30" s="81">
        <f t="shared" si="2"/>
        <v>10</v>
      </c>
      <c r="Y30" s="836" t="str">
        <f t="shared" si="3"/>
        <v>10 tranche(s)</v>
      </c>
      <c r="Z30" s="839" t="str">
        <f>IF(OR(C29="",AJ30&lt;&gt;"VOLUME",AN34=0),"","≈ "&amp;TEXT(ROUND(AN30/AN34*10*2,0)/2,"0.0")&amp;"/10")</f>
        <v/>
      </c>
      <c r="AA30" s="82">
        <f t="shared" si="4"/>
        <v>10</v>
      </c>
      <c r="AB30" s="83" t="str">
        <f t="shared" si="5"/>
        <v>tranche(s)</v>
      </c>
      <c r="AC30" s="842">
        <f t="shared" si="6"/>
        <v>0</v>
      </c>
      <c r="AD30" s="163">
        <f t="shared" si="7"/>
        <v>0</v>
      </c>
      <c r="AE30" s="164">
        <f t="shared" si="8"/>
        <v>0.25</v>
      </c>
      <c r="AF30" s="855">
        <f t="shared" si="9"/>
        <v>2.5</v>
      </c>
      <c r="AH30" s="84">
        <f t="shared" si="10"/>
        <v>4</v>
      </c>
      <c r="AI30" s="85" t="str">
        <f t="shared" si="11"/>
        <v>Tranche d'orange*</v>
      </c>
      <c r="AJ30" s="84" t="str">
        <f t="shared" si="12"/>
        <v>AUTRE</v>
      </c>
      <c r="AK30" s="84">
        <f t="shared" si="13"/>
        <v>1</v>
      </c>
      <c r="AL30" s="84">
        <f t="shared" si="14"/>
        <v>1</v>
      </c>
      <c r="AM30" s="84">
        <f>IF(C29="","",R19)</f>
        <v>10</v>
      </c>
      <c r="AN30" s="84">
        <f t="shared" si="15"/>
        <v>10</v>
      </c>
      <c r="AO30" s="84">
        <f t="shared" si="16"/>
        <v>10</v>
      </c>
      <c r="AP30" s="84" t="str">
        <f t="shared" si="17"/>
        <v>tranche(s)</v>
      </c>
      <c r="AQ30" s="84">
        <f t="shared" si="18"/>
        <v>0</v>
      </c>
      <c r="AR30" s="84">
        <f t="shared" si="19"/>
        <v>2.5</v>
      </c>
      <c r="AS30" s="84" t="str">
        <f t="shared" si="20"/>
        <v>OK</v>
      </c>
      <c r="AU30" s="53" t="s">
        <v>189</v>
      </c>
      <c r="AV30" s="17" t="s">
        <v>127</v>
      </c>
      <c r="AW30" s="17">
        <v>1</v>
      </c>
      <c r="AX30" s="17" t="s">
        <v>128</v>
      </c>
      <c r="AY30" s="17" t="s">
        <v>190</v>
      </c>
      <c r="AZ30" s="157" t="s">
        <v>139</v>
      </c>
      <c r="BB30" s="144" t="s">
        <v>191</v>
      </c>
      <c r="BC30" s="145">
        <v>40</v>
      </c>
      <c r="BE30" s="72">
        <v>25</v>
      </c>
      <c r="BF30" s="203"/>
      <c r="BG30" s="159">
        <v>1.05</v>
      </c>
      <c r="BH30" s="70" t="s">
        <v>655</v>
      </c>
      <c r="BI30" s="38" t="s">
        <v>625</v>
      </c>
      <c r="BK30" s="447">
        <v>1</v>
      </c>
    </row>
    <row r="31" spans="1:63" ht="24.95" customHeight="1">
      <c r="A31" s="757"/>
      <c r="B31" s="162"/>
      <c r="C31" s="70"/>
      <c r="D31" s="79"/>
      <c r="E31" s="3"/>
      <c r="F31" s="72"/>
      <c r="G31" s="159"/>
      <c r="H31" s="160"/>
      <c r="I31" s="161"/>
      <c r="J31" s="73"/>
      <c r="K31" s="73"/>
      <c r="L31" s="73"/>
      <c r="M31" s="74"/>
      <c r="N31" s="3"/>
      <c r="O31" s="53" t="s">
        <v>192</v>
      </c>
      <c r="V31" s="846" t="str">
        <f t="shared" si="0"/>
        <v>Glace</v>
      </c>
      <c r="W31" s="848" t="str">
        <f t="shared" si="1"/>
        <v>QS</v>
      </c>
      <c r="X31" s="81" t="str">
        <f t="shared" si="2"/>
        <v/>
      </c>
      <c r="Y31" s="836" t="str">
        <f t="shared" si="3"/>
        <v>Qt. suffisante</v>
      </c>
      <c r="Z31" s="839" t="str">
        <f>IF(OR(C30="",AJ31&lt;&gt;"VOLUME",AN34=0),"","≈ "&amp;TEXT(ROUND(AN31/AN34*10*2,0)/2,"0.0")&amp;"/10")</f>
        <v/>
      </c>
      <c r="AA31" s="80" t="str">
        <f t="shared" si="4"/>
        <v/>
      </c>
      <c r="AB31" s="83" t="str">
        <f t="shared" si="5"/>
        <v/>
      </c>
      <c r="AC31" s="842">
        <f t="shared" si="6"/>
        <v>0</v>
      </c>
      <c r="AD31" s="163">
        <f t="shared" si="7"/>
        <v>0</v>
      </c>
      <c r="AE31" s="164">
        <f t="shared" si="8"/>
        <v>0</v>
      </c>
      <c r="AF31" s="855">
        <f t="shared" si="9"/>
        <v>0</v>
      </c>
      <c r="AH31" s="84">
        <f t="shared" si="10"/>
        <v>5</v>
      </c>
      <c r="AI31" s="85" t="str">
        <f t="shared" si="11"/>
        <v>Glace</v>
      </c>
      <c r="AJ31" s="84" t="str">
        <f t="shared" si="12"/>
        <v>AUTRE</v>
      </c>
      <c r="AK31" s="84">
        <f t="shared" si="13"/>
        <v>1</v>
      </c>
      <c r="AL31" s="84" t="str">
        <f t="shared" si="14"/>
        <v/>
      </c>
      <c r="AM31" s="84">
        <f>IF(C30="","",R19)</f>
        <v>10</v>
      </c>
      <c r="AN31" s="84" t="str">
        <f t="shared" si="15"/>
        <v/>
      </c>
      <c r="AO31" s="84" t="str">
        <f t="shared" si="16"/>
        <v/>
      </c>
      <c r="AP31" s="84" t="str">
        <f t="shared" si="17"/>
        <v/>
      </c>
      <c r="AQ31" s="84">
        <f t="shared" si="18"/>
        <v>0</v>
      </c>
      <c r="AR31" s="84">
        <f t="shared" si="19"/>
        <v>0</v>
      </c>
      <c r="AS31" s="84" t="str">
        <f t="shared" si="20"/>
        <v>OK</v>
      </c>
      <c r="AU31" s="53" t="s">
        <v>192</v>
      </c>
      <c r="AV31" s="17" t="s">
        <v>127</v>
      </c>
      <c r="AW31" s="17">
        <v>1</v>
      </c>
      <c r="AX31" s="17" t="s">
        <v>128</v>
      </c>
      <c r="AY31" s="17" t="s">
        <v>193</v>
      </c>
      <c r="AZ31" s="157" t="s">
        <v>139</v>
      </c>
      <c r="BB31" s="144" t="s">
        <v>194</v>
      </c>
      <c r="BC31" s="145">
        <v>3</v>
      </c>
      <c r="BE31" s="72">
        <v>20</v>
      </c>
      <c r="BF31" s="203"/>
      <c r="BG31" s="159">
        <v>1.25</v>
      </c>
      <c r="BH31" s="70" t="s">
        <v>657</v>
      </c>
      <c r="BI31" s="38" t="s">
        <v>636</v>
      </c>
      <c r="BK31" s="447">
        <v>1</v>
      </c>
    </row>
    <row r="32" spans="1:63" ht="24.95" customHeight="1">
      <c r="A32" s="757"/>
      <c r="B32" s="158"/>
      <c r="C32" s="70"/>
      <c r="D32" s="79"/>
      <c r="E32" s="3"/>
      <c r="F32" s="72"/>
      <c r="G32" s="159"/>
      <c r="H32" s="160"/>
      <c r="I32" s="161"/>
      <c r="J32" s="73"/>
      <c r="K32" s="73"/>
      <c r="L32" s="73"/>
      <c r="M32" s="74"/>
      <c r="N32" s="3"/>
      <c r="O32" s="53" t="s">
        <v>195</v>
      </c>
      <c r="Q32" s="355" t="s">
        <v>558</v>
      </c>
      <c r="V32" s="847" t="str">
        <f t="shared" si="0"/>
        <v/>
      </c>
      <c r="W32" s="849" t="str">
        <f t="shared" si="1"/>
        <v/>
      </c>
      <c r="X32" s="86" t="str">
        <f t="shared" si="2"/>
        <v/>
      </c>
      <c r="Y32" s="837" t="str">
        <f t="shared" si="3"/>
        <v/>
      </c>
      <c r="Z32" s="840" t="str">
        <f>IF(OR(C31="",AJ32&lt;&gt;"VOLUME",AN34=0),"","≈ "&amp;TEXT(ROUND(AN32/AN34*10*2,0)/2,"0.0")&amp;"/10")</f>
        <v/>
      </c>
      <c r="AA32" s="87" t="str">
        <f t="shared" si="4"/>
        <v/>
      </c>
      <c r="AB32" s="88" t="str">
        <f t="shared" si="5"/>
        <v/>
      </c>
      <c r="AC32" s="843" t="str">
        <f t="shared" si="6"/>
        <v/>
      </c>
      <c r="AD32" s="88" t="str">
        <f t="shared" si="7"/>
        <v/>
      </c>
      <c r="AE32" s="88" t="str">
        <f t="shared" si="8"/>
        <v/>
      </c>
      <c r="AF32" s="834" t="str">
        <f t="shared" si="9"/>
        <v/>
      </c>
      <c r="AH32" s="84" t="str">
        <f t="shared" si="10"/>
        <v/>
      </c>
      <c r="AI32" s="85" t="str">
        <f t="shared" si="11"/>
        <v/>
      </c>
      <c r="AJ32" s="84" t="str">
        <f t="shared" si="12"/>
        <v/>
      </c>
      <c r="AK32" s="84" t="str">
        <f t="shared" si="13"/>
        <v/>
      </c>
      <c r="AL32" s="84" t="str">
        <f t="shared" si="14"/>
        <v/>
      </c>
      <c r="AM32" s="84" t="str">
        <f>IF(C31="","",R19)</f>
        <v/>
      </c>
      <c r="AN32" s="84" t="str">
        <f t="shared" si="15"/>
        <v/>
      </c>
      <c r="AO32" s="84" t="str">
        <f t="shared" si="16"/>
        <v/>
      </c>
      <c r="AP32" s="84" t="str">
        <f t="shared" si="17"/>
        <v/>
      </c>
      <c r="AQ32" s="84" t="str">
        <f t="shared" si="18"/>
        <v/>
      </c>
      <c r="AR32" s="84" t="str">
        <f t="shared" si="19"/>
        <v/>
      </c>
      <c r="AS32" s="84" t="str">
        <f t="shared" si="20"/>
        <v/>
      </c>
      <c r="AU32" s="53" t="s">
        <v>195</v>
      </c>
      <c r="AV32" s="17" t="s">
        <v>127</v>
      </c>
      <c r="AW32" s="17">
        <v>1</v>
      </c>
      <c r="AX32" s="17" t="s">
        <v>128</v>
      </c>
      <c r="AY32" s="17" t="s">
        <v>196</v>
      </c>
      <c r="AZ32" s="157" t="s">
        <v>139</v>
      </c>
      <c r="BB32" s="144" t="s">
        <v>197</v>
      </c>
      <c r="BC32" s="145">
        <v>4.5</v>
      </c>
      <c r="BE32" s="72">
        <v>55</v>
      </c>
      <c r="BF32" s="203"/>
      <c r="BG32" s="159">
        <v>1.05</v>
      </c>
      <c r="BH32" s="70" t="s">
        <v>659</v>
      </c>
      <c r="BI32" s="38" t="s">
        <v>660</v>
      </c>
      <c r="BK32" s="447">
        <v>1</v>
      </c>
    </row>
    <row r="33" spans="1:63" ht="24.95" customHeight="1">
      <c r="A33" s="757"/>
      <c r="B33" s="14" t="s">
        <v>44</v>
      </c>
      <c r="C33" s="146" t="s">
        <v>198</v>
      </c>
      <c r="D33" s="89"/>
      <c r="E33" s="89"/>
      <c r="F33" s="89"/>
      <c r="G33" s="89"/>
      <c r="H33" s="89"/>
      <c r="I33" s="89"/>
      <c r="J33" s="89"/>
      <c r="K33" s="89"/>
      <c r="L33" s="89"/>
      <c r="M33" s="90"/>
      <c r="N33" s="3"/>
      <c r="O33" s="53" t="s">
        <v>199</v>
      </c>
      <c r="Q33"/>
      <c r="V33" s="847" t="str">
        <f t="shared" si="0"/>
        <v/>
      </c>
      <c r="W33" s="849" t="str">
        <f t="shared" si="1"/>
        <v/>
      </c>
      <c r="X33" s="86" t="str">
        <f t="shared" si="2"/>
        <v/>
      </c>
      <c r="Y33" s="837" t="str">
        <f t="shared" si="3"/>
        <v/>
      </c>
      <c r="Z33" s="840" t="str">
        <f>IF(OR(C32="",AJ33&lt;&gt;"VOLUME",AN34=0),"","≈ "&amp;TEXT(ROUND(AN33/AN34*10*2,0)/2,"0.0")&amp;"/10")</f>
        <v/>
      </c>
      <c r="AA33" s="87" t="str">
        <f t="shared" si="4"/>
        <v/>
      </c>
      <c r="AB33" s="88" t="str">
        <f t="shared" si="5"/>
        <v/>
      </c>
      <c r="AC33" s="843" t="str">
        <f t="shared" si="6"/>
        <v/>
      </c>
      <c r="AD33" s="88" t="str">
        <f t="shared" si="7"/>
        <v/>
      </c>
      <c r="AE33" s="88" t="str">
        <f t="shared" si="8"/>
        <v/>
      </c>
      <c r="AF33" s="834" t="str">
        <f t="shared" si="9"/>
        <v/>
      </c>
      <c r="AH33" s="84" t="str">
        <f t="shared" si="10"/>
        <v/>
      </c>
      <c r="AI33" s="85" t="str">
        <f t="shared" si="11"/>
        <v/>
      </c>
      <c r="AJ33" s="84" t="str">
        <f t="shared" si="12"/>
        <v/>
      </c>
      <c r="AK33" s="84" t="str">
        <f t="shared" si="13"/>
        <v/>
      </c>
      <c r="AL33" s="84" t="str">
        <f t="shared" si="14"/>
        <v/>
      </c>
      <c r="AM33" s="84" t="str">
        <f>IF(C32="","",R19)</f>
        <v/>
      </c>
      <c r="AN33" s="84" t="str">
        <f t="shared" si="15"/>
        <v/>
      </c>
      <c r="AO33" s="84" t="str">
        <f t="shared" si="16"/>
        <v/>
      </c>
      <c r="AP33" s="84" t="str">
        <f t="shared" si="17"/>
        <v/>
      </c>
      <c r="AQ33" s="84" t="str">
        <f t="shared" si="18"/>
        <v/>
      </c>
      <c r="AR33" s="84" t="str">
        <f t="shared" si="19"/>
        <v/>
      </c>
      <c r="AS33" s="84" t="str">
        <f t="shared" si="20"/>
        <v/>
      </c>
      <c r="AU33" s="53" t="s">
        <v>199</v>
      </c>
      <c r="AV33" s="17" t="s">
        <v>127</v>
      </c>
      <c r="AW33" s="17">
        <v>1</v>
      </c>
      <c r="AX33" s="17" t="s">
        <v>128</v>
      </c>
      <c r="AY33" s="17" t="s">
        <v>200</v>
      </c>
      <c r="AZ33" s="157" t="s">
        <v>139</v>
      </c>
      <c r="BB33" s="144" t="s">
        <v>201</v>
      </c>
      <c r="BC33" s="145">
        <v>30</v>
      </c>
      <c r="BE33" s="72">
        <v>25</v>
      </c>
      <c r="BF33" s="203"/>
      <c r="BG33" s="159">
        <v>1.03</v>
      </c>
      <c r="BH33" s="70" t="s">
        <v>665</v>
      </c>
      <c r="BI33" s="38" t="s">
        <v>666</v>
      </c>
      <c r="BK33" s="447">
        <v>1</v>
      </c>
    </row>
    <row r="34" spans="1:63" ht="24.95" customHeight="1">
      <c r="A34" s="757"/>
      <c r="B34" s="91">
        <v>0</v>
      </c>
      <c r="C34" s="10" t="s">
        <v>491</v>
      </c>
      <c r="D34" s="11"/>
      <c r="E34" s="11"/>
      <c r="F34" s="11"/>
      <c r="G34" s="11"/>
      <c r="H34" s="11"/>
      <c r="I34" s="11"/>
      <c r="J34" s="11"/>
      <c r="K34" s="11"/>
      <c r="L34" s="11"/>
      <c r="M34" s="92"/>
      <c r="N34" s="3"/>
      <c r="O34" s="53" t="s">
        <v>202</v>
      </c>
      <c r="Q34" s="29" t="s">
        <v>70</v>
      </c>
      <c r="V34" s="851" t="s">
        <v>203</v>
      </c>
      <c r="W34" s="93"/>
      <c r="X34" s="845">
        <f>AN34</f>
        <v>1500</v>
      </c>
      <c r="Y34" s="835" t="str">
        <f>IF(AN34=0,"",TEXT(AN34/1000,"0.000")&amp;" L")</f>
        <v>1.500 L</v>
      </c>
      <c r="Z34" s="857"/>
      <c r="AA34" s="93"/>
      <c r="AB34" s="93"/>
      <c r="AC34" s="832">
        <f>AQ34</f>
        <v>200</v>
      </c>
      <c r="AD34" s="844">
        <f>IF(AN34=0,"",AQ34/AN34*100)</f>
        <v>13.333333333333334</v>
      </c>
      <c r="AE34" s="93"/>
      <c r="AF34" s="856">
        <f>AR34</f>
        <v>16.25</v>
      </c>
      <c r="AH34" s="94" t="s">
        <v>203</v>
      </c>
      <c r="AI34" s="94"/>
      <c r="AJ34" s="94"/>
      <c r="AK34" s="94"/>
      <c r="AL34" s="94"/>
      <c r="AM34" s="94"/>
      <c r="AN34" s="94">
        <f>SUMIF(AJ27:AJ33,"VOLUME",AN27:AN33)</f>
        <v>1500</v>
      </c>
      <c r="AO34" s="94"/>
      <c r="AP34" s="94"/>
      <c r="AQ34" s="94">
        <f>SUM(AQ27:AQ33)</f>
        <v>200</v>
      </c>
      <c r="AR34" s="94">
        <f>SUM(AR27:AR33)</f>
        <v>16.25</v>
      </c>
      <c r="AS34" s="94" t="str">
        <f>IF(COUNTIF(AS27:AS33,"&lt;&gt;OK")-COUNTBLANK(AS27:AS33)=0,"OK","À CONTRÔLER")</f>
        <v>OK</v>
      </c>
      <c r="AU34" s="53" t="s">
        <v>202</v>
      </c>
      <c r="AV34" s="17" t="s">
        <v>127</v>
      </c>
      <c r="AW34" s="17">
        <v>1</v>
      </c>
      <c r="AX34" s="17" t="s">
        <v>128</v>
      </c>
      <c r="AY34" s="17" t="s">
        <v>204</v>
      </c>
      <c r="AZ34" s="157" t="s">
        <v>139</v>
      </c>
      <c r="BB34" s="144" t="s">
        <v>205</v>
      </c>
      <c r="BC34" s="145">
        <v>20</v>
      </c>
      <c r="BE34" s="72">
        <v>25</v>
      </c>
      <c r="BF34" s="203"/>
      <c r="BG34" s="159">
        <v>1.04</v>
      </c>
      <c r="BH34" s="70" t="s">
        <v>665</v>
      </c>
      <c r="BI34" s="38" t="s">
        <v>628</v>
      </c>
      <c r="BK34" s="447">
        <v>1</v>
      </c>
    </row>
    <row r="35" spans="1:63" ht="24.95" customHeight="1">
      <c r="A35" s="757"/>
      <c r="B35" s="95">
        <v>1</v>
      </c>
      <c r="C35" s="96" t="s">
        <v>206</v>
      </c>
      <c r="D35" s="96"/>
      <c r="E35" s="96"/>
      <c r="F35" s="96"/>
      <c r="G35" s="96"/>
      <c r="H35" s="96"/>
      <c r="I35" s="96"/>
      <c r="J35" s="96"/>
      <c r="K35" s="96"/>
      <c r="L35" s="96"/>
      <c r="M35" s="74"/>
      <c r="N35" s="3"/>
      <c r="O35" s="53" t="s">
        <v>207</v>
      </c>
      <c r="Q35" s="184"/>
      <c r="V35" s="832" t="s">
        <v>208</v>
      </c>
      <c r="W35" s="19" t="s">
        <v>209</v>
      </c>
      <c r="X35" s="36"/>
      <c r="Y35" s="858"/>
      <c r="Z35" s="859"/>
      <c r="AA35" s="97"/>
      <c r="AB35" s="97"/>
      <c r="AC35" s="97"/>
      <c r="AD35" s="97"/>
      <c r="AE35" s="97"/>
      <c r="AF35" s="860"/>
      <c r="AH35" s="3" t="s">
        <v>6994</v>
      </c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U35" s="53" t="s">
        <v>207</v>
      </c>
      <c r="AV35" s="17" t="s">
        <v>127</v>
      </c>
      <c r="AW35" s="17">
        <v>1</v>
      </c>
      <c r="AX35" s="17" t="s">
        <v>128</v>
      </c>
      <c r="AY35" s="17" t="s">
        <v>210</v>
      </c>
      <c r="AZ35" s="157" t="s">
        <v>139</v>
      </c>
      <c r="BB35" s="144" t="s">
        <v>211</v>
      </c>
      <c r="BC35" s="145">
        <v>25</v>
      </c>
      <c r="BE35" s="72">
        <v>15</v>
      </c>
      <c r="BF35" s="203"/>
      <c r="BG35" s="159">
        <v>1.02</v>
      </c>
      <c r="BH35" s="70" t="s">
        <v>669</v>
      </c>
      <c r="BI35" s="38" t="s">
        <v>595</v>
      </c>
      <c r="BK35" s="447">
        <v>1</v>
      </c>
    </row>
    <row r="36" spans="1:63" ht="24.95" customHeight="1">
      <c r="A36" s="757"/>
      <c r="B36" s="95">
        <v>2</v>
      </c>
      <c r="C36" s="96" t="s">
        <v>212</v>
      </c>
      <c r="D36" s="96"/>
      <c r="E36" s="96"/>
      <c r="F36" s="96"/>
      <c r="G36" s="96"/>
      <c r="H36" s="96"/>
      <c r="I36" s="96"/>
      <c r="J36" s="96"/>
      <c r="K36" s="96"/>
      <c r="L36" s="96"/>
      <c r="M36" s="74"/>
      <c r="N36" s="3"/>
      <c r="O36" s="53" t="s">
        <v>213</v>
      </c>
      <c r="P36" s="3"/>
      <c r="Q36" s="29" t="s">
        <v>584</v>
      </c>
      <c r="V36" s="98" t="str">
        <f t="shared" ref="V36:V43" si="21">IF(C35="","",C35)</f>
        <v>Préparer le verre et le poste de travail.</v>
      </c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H36" s="146" t="s">
        <v>214</v>
      </c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3"/>
      <c r="AU36" s="53" t="s">
        <v>213</v>
      </c>
      <c r="AV36" s="17" t="s">
        <v>127</v>
      </c>
      <c r="AW36" s="17">
        <v>1</v>
      </c>
      <c r="AX36" s="17" t="s">
        <v>128</v>
      </c>
      <c r="AY36" s="17" t="s">
        <v>215</v>
      </c>
      <c r="AZ36" s="157" t="s">
        <v>139</v>
      </c>
      <c r="BB36" s="144" t="s">
        <v>216</v>
      </c>
      <c r="BC36" s="145">
        <v>30</v>
      </c>
      <c r="BE36" s="72">
        <v>40</v>
      </c>
      <c r="BF36" s="203"/>
      <c r="BG36" s="159">
        <v>0.94</v>
      </c>
      <c r="BH36" s="70" t="s">
        <v>674</v>
      </c>
      <c r="BI36" s="38" t="s">
        <v>576</v>
      </c>
      <c r="BK36" s="447">
        <v>1</v>
      </c>
    </row>
    <row r="37" spans="1:63" ht="24.95" customHeight="1">
      <c r="A37" s="757"/>
      <c r="B37" s="95">
        <v>3</v>
      </c>
      <c r="C37" s="96" t="s">
        <v>217</v>
      </c>
      <c r="D37" s="96"/>
      <c r="E37" s="96"/>
      <c r="F37" s="96"/>
      <c r="G37" s="96"/>
      <c r="H37" s="96"/>
      <c r="I37" s="96"/>
      <c r="J37" s="96"/>
      <c r="K37" s="96"/>
      <c r="L37" s="96"/>
      <c r="M37" s="74"/>
      <c r="N37" s="3"/>
      <c r="O37" s="53" t="s">
        <v>218</v>
      </c>
      <c r="P37" s="3"/>
      <c r="Q37"/>
      <c r="R37" s="3"/>
      <c r="S37" s="3"/>
      <c r="T37" s="3"/>
      <c r="U37" s="3"/>
      <c r="V37" s="98" t="str">
        <f t="shared" si="21"/>
        <v>Remplir le verre de glaçons selon la fiche.</v>
      </c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H37" s="165" t="s">
        <v>219</v>
      </c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U37" s="53" t="s">
        <v>218</v>
      </c>
      <c r="AV37" s="17" t="s">
        <v>127</v>
      </c>
      <c r="AW37" s="17">
        <v>1</v>
      </c>
      <c r="AX37" s="17" t="s">
        <v>128</v>
      </c>
      <c r="AY37" s="17" t="s">
        <v>220</v>
      </c>
      <c r="AZ37" s="157" t="s">
        <v>139</v>
      </c>
      <c r="BB37" s="144" t="s">
        <v>83</v>
      </c>
      <c r="BC37" s="145">
        <v>25</v>
      </c>
      <c r="BE37" s="72">
        <v>40</v>
      </c>
      <c r="BF37" s="203"/>
      <c r="BG37" s="159">
        <v>1.04</v>
      </c>
      <c r="BH37" s="70" t="s">
        <v>677</v>
      </c>
      <c r="BI37" s="38" t="s">
        <v>678</v>
      </c>
      <c r="BK37" s="447">
        <v>1</v>
      </c>
    </row>
    <row r="38" spans="1:63" ht="24.95" customHeight="1">
      <c r="A38" s="757"/>
      <c r="B38" s="95">
        <v>4</v>
      </c>
      <c r="C38" s="96" t="s">
        <v>221</v>
      </c>
      <c r="D38" s="96"/>
      <c r="E38" s="96"/>
      <c r="F38" s="96"/>
      <c r="G38" s="96"/>
      <c r="H38" s="96"/>
      <c r="I38" s="96"/>
      <c r="J38" s="96"/>
      <c r="K38" s="96"/>
      <c r="L38" s="96"/>
      <c r="M38" s="74"/>
      <c r="N38" s="3"/>
      <c r="O38" s="53" t="s">
        <v>184</v>
      </c>
      <c r="P38" s="3"/>
      <c r="Q38" s="356" t="s">
        <v>564</v>
      </c>
      <c r="R38" s="3"/>
      <c r="S38" s="3"/>
      <c r="T38" s="3"/>
      <c r="U38" s="3"/>
      <c r="V38" s="98" t="str">
        <f t="shared" si="21"/>
        <v>Doser le Bitter Campari.</v>
      </c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H38" s="166" t="s">
        <v>222</v>
      </c>
      <c r="AI38" s="167" t="s">
        <v>223</v>
      </c>
      <c r="AJ38" s="165"/>
      <c r="AK38" s="167" t="s">
        <v>224</v>
      </c>
      <c r="AL38" s="165"/>
      <c r="AM38" s="165"/>
      <c r="AN38" s="165"/>
      <c r="AO38" s="167" t="s">
        <v>225</v>
      </c>
      <c r="AP38" s="165"/>
      <c r="AQ38" s="165"/>
      <c r="AR38" s="165"/>
      <c r="AU38" s="53" t="s">
        <v>184</v>
      </c>
      <c r="AV38" s="17" t="s">
        <v>127</v>
      </c>
      <c r="AW38" s="17">
        <v>1</v>
      </c>
      <c r="AX38" s="17" t="s">
        <v>128</v>
      </c>
      <c r="AY38" s="17" t="s">
        <v>226</v>
      </c>
      <c r="AZ38" s="157" t="s">
        <v>139</v>
      </c>
      <c r="BB38" s="144" t="s">
        <v>227</v>
      </c>
      <c r="BC38" s="145">
        <v>6</v>
      </c>
      <c r="BE38" s="72">
        <v>30</v>
      </c>
      <c r="BF38" s="203"/>
      <c r="BG38" s="159">
        <v>1.04</v>
      </c>
      <c r="BH38" s="70" t="s">
        <v>681</v>
      </c>
      <c r="BI38" s="38" t="s">
        <v>682</v>
      </c>
      <c r="BK38" s="447">
        <v>1</v>
      </c>
    </row>
    <row r="39" spans="1:63" ht="24.95" customHeight="1">
      <c r="A39" s="757"/>
      <c r="B39" s="95">
        <v>5</v>
      </c>
      <c r="C39" s="96" t="s">
        <v>228</v>
      </c>
      <c r="D39" s="96"/>
      <c r="E39" s="96"/>
      <c r="F39" s="96"/>
      <c r="G39" s="96"/>
      <c r="H39" s="96"/>
      <c r="I39" s="96"/>
      <c r="J39" s="96"/>
      <c r="K39" s="96"/>
      <c r="L39" s="96"/>
      <c r="M39" s="74"/>
      <c r="N39" s="3"/>
      <c r="O39" s="53" t="s">
        <v>229</v>
      </c>
      <c r="P39" s="3"/>
      <c r="Q39"/>
      <c r="R39" s="3"/>
      <c r="S39" s="3"/>
      <c r="T39" s="3"/>
      <c r="U39" s="3"/>
      <c r="V39" s="98" t="str">
        <f t="shared" si="21"/>
        <v>Doser le vermouth italien.</v>
      </c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H39" s="750" t="s">
        <v>156</v>
      </c>
      <c r="AI39" s="748" t="s">
        <v>230</v>
      </c>
      <c r="AJ39" s="748"/>
      <c r="AK39" s="749" t="s">
        <v>231</v>
      </c>
      <c r="AL39" s="749"/>
      <c r="AM39" s="749"/>
      <c r="AN39" s="749"/>
      <c r="AO39" s="746" t="s">
        <v>232</v>
      </c>
      <c r="AP39" s="746"/>
      <c r="AQ39" s="746"/>
      <c r="AR39" s="746"/>
      <c r="AU39" s="53" t="s">
        <v>229</v>
      </c>
      <c r="AV39" s="17" t="s">
        <v>127</v>
      </c>
      <c r="AW39" s="17">
        <v>1</v>
      </c>
      <c r="AX39" s="17" t="s">
        <v>128</v>
      </c>
      <c r="AY39" s="17" t="s">
        <v>233</v>
      </c>
      <c r="AZ39" s="157" t="s">
        <v>139</v>
      </c>
      <c r="BB39" s="144" t="s">
        <v>234</v>
      </c>
      <c r="BC39" s="145">
        <v>21.5</v>
      </c>
      <c r="BE39" s="72">
        <v>25</v>
      </c>
      <c r="BF39" s="203"/>
      <c r="BG39" s="159">
        <v>1.05</v>
      </c>
      <c r="BH39" s="70" t="s">
        <v>686</v>
      </c>
      <c r="BI39" s="38" t="s">
        <v>576</v>
      </c>
      <c r="BK39" s="447">
        <v>1</v>
      </c>
    </row>
    <row r="40" spans="1:63" ht="24.95" customHeight="1">
      <c r="A40" s="757"/>
      <c r="B40" s="95">
        <v>6</v>
      </c>
      <c r="C40" s="96" t="s">
        <v>235</v>
      </c>
      <c r="D40" s="96"/>
      <c r="E40" s="96"/>
      <c r="F40" s="96"/>
      <c r="G40" s="96"/>
      <c r="H40" s="96"/>
      <c r="I40" s="96"/>
      <c r="J40" s="96"/>
      <c r="K40" s="96"/>
      <c r="L40" s="96"/>
      <c r="M40" s="74"/>
      <c r="N40" s="3"/>
      <c r="O40" s="53" t="s">
        <v>236</v>
      </c>
      <c r="P40" s="3"/>
      <c r="Q40" s="356" t="s">
        <v>72</v>
      </c>
      <c r="R40" s="3"/>
      <c r="S40" s="3"/>
      <c r="T40" s="3"/>
      <c r="U40" s="3"/>
      <c r="V40" s="98" t="str">
        <f t="shared" si="21"/>
        <v>Ajouter l’eau gazeuse.</v>
      </c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H40" s="750"/>
      <c r="AI40" s="748"/>
      <c r="AJ40" s="748"/>
      <c r="AK40" s="749"/>
      <c r="AL40" s="749"/>
      <c r="AM40" s="749"/>
      <c r="AN40" s="749"/>
      <c r="AO40" s="746"/>
      <c r="AP40" s="746"/>
      <c r="AQ40" s="746"/>
      <c r="AR40" s="746"/>
      <c r="AU40" s="53" t="s">
        <v>236</v>
      </c>
      <c r="AV40" s="17" t="s">
        <v>127</v>
      </c>
      <c r="AW40" s="17">
        <v>1</v>
      </c>
      <c r="AX40" s="17" t="s">
        <v>128</v>
      </c>
      <c r="AY40" s="17" t="s">
        <v>237</v>
      </c>
      <c r="AZ40" s="157" t="s">
        <v>139</v>
      </c>
      <c r="BB40" s="144" t="s">
        <v>238</v>
      </c>
      <c r="BC40" s="145">
        <v>20</v>
      </c>
      <c r="BE40" s="72">
        <v>25</v>
      </c>
      <c r="BF40" s="203"/>
      <c r="BG40" s="159">
        <v>1.05</v>
      </c>
      <c r="BH40" s="70" t="s">
        <v>687</v>
      </c>
      <c r="BI40" s="38" t="s">
        <v>645</v>
      </c>
      <c r="BK40" s="447">
        <v>1</v>
      </c>
    </row>
    <row r="41" spans="1:63" ht="24.95" customHeight="1">
      <c r="A41" s="757"/>
      <c r="B41" s="95">
        <v>7</v>
      </c>
      <c r="C41" s="96" t="s">
        <v>239</v>
      </c>
      <c r="D41" s="96"/>
      <c r="E41" s="96"/>
      <c r="F41" s="96"/>
      <c r="G41" s="96"/>
      <c r="H41" s="96"/>
      <c r="I41" s="96"/>
      <c r="J41" s="96"/>
      <c r="K41" s="96"/>
      <c r="L41" s="96"/>
      <c r="M41" s="74"/>
      <c r="N41" s="3"/>
      <c r="O41" s="99" t="s">
        <v>240</v>
      </c>
      <c r="P41" s="3"/>
      <c r="Q41"/>
      <c r="R41" s="3"/>
      <c r="S41" s="3"/>
      <c r="T41" s="3"/>
      <c r="U41" s="3"/>
      <c r="V41" s="98" t="str">
        <f t="shared" si="21"/>
        <v>Mélanger avec régularité sans casser excessivement la glace.</v>
      </c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H41" s="747" t="s">
        <v>492</v>
      </c>
      <c r="AI41" s="748" t="s">
        <v>241</v>
      </c>
      <c r="AJ41" s="748"/>
      <c r="AK41" s="749" t="s">
        <v>242</v>
      </c>
      <c r="AL41" s="749"/>
      <c r="AM41" s="749"/>
      <c r="AN41" s="749"/>
      <c r="AO41" s="746" t="s">
        <v>243</v>
      </c>
      <c r="AP41" s="746"/>
      <c r="AQ41" s="746"/>
      <c r="AR41" s="746"/>
      <c r="AU41" s="39" t="s">
        <v>244</v>
      </c>
      <c r="AV41" s="17" t="s">
        <v>21</v>
      </c>
      <c r="AW41" s="17">
        <v>120</v>
      </c>
      <c r="AX41" s="17" t="s">
        <v>22</v>
      </c>
      <c r="AY41" s="17" t="s">
        <v>245</v>
      </c>
      <c r="AZ41" s="169" t="s">
        <v>246</v>
      </c>
      <c r="BB41" s="4"/>
      <c r="BC41" s="4"/>
      <c r="BE41" s="72">
        <v>30</v>
      </c>
      <c r="BF41" s="203"/>
      <c r="BG41" s="159">
        <v>1.03</v>
      </c>
      <c r="BH41" s="70" t="s">
        <v>688</v>
      </c>
      <c r="BI41" s="38" t="s">
        <v>689</v>
      </c>
      <c r="BK41" s="447">
        <v>1</v>
      </c>
    </row>
    <row r="42" spans="1:63" ht="24.95" customHeight="1">
      <c r="A42" s="757"/>
      <c r="B42" s="95">
        <v>8</v>
      </c>
      <c r="C42" s="96" t="s">
        <v>247</v>
      </c>
      <c r="D42" s="96"/>
      <c r="E42" s="96"/>
      <c r="F42" s="96"/>
      <c r="G42" s="96"/>
      <c r="H42" s="96"/>
      <c r="I42" s="96"/>
      <c r="J42" s="96"/>
      <c r="K42" s="96"/>
      <c r="L42" s="96"/>
      <c r="M42" s="74"/>
      <c r="N42" s="3"/>
      <c r="O42" s="100" t="s">
        <v>248</v>
      </c>
      <c r="P42" s="3"/>
      <c r="Q42" s="356" t="s">
        <v>602</v>
      </c>
      <c r="R42" s="3"/>
      <c r="S42" s="3"/>
      <c r="T42" s="3"/>
      <c r="U42" s="3"/>
      <c r="V42" s="98" t="str">
        <f t="shared" si="21"/>
        <v>Ajouter la garniture d’orange.</v>
      </c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H42" s="747"/>
      <c r="AI42" s="748"/>
      <c r="AJ42" s="748"/>
      <c r="AK42" s="749"/>
      <c r="AL42" s="749"/>
      <c r="AM42" s="749"/>
      <c r="AN42" s="749"/>
      <c r="AO42" s="746"/>
      <c r="AP42" s="746"/>
      <c r="AQ42" s="746"/>
      <c r="AR42" s="746"/>
      <c r="AU42" s="39" t="s">
        <v>249</v>
      </c>
      <c r="AV42" s="17" t="s">
        <v>21</v>
      </c>
      <c r="AW42" s="17">
        <v>350</v>
      </c>
      <c r="AX42" s="17" t="s">
        <v>22</v>
      </c>
      <c r="AY42" s="17" t="s">
        <v>250</v>
      </c>
      <c r="AZ42" s="169" t="s">
        <v>246</v>
      </c>
      <c r="BB42" s="4"/>
      <c r="BC42" s="4"/>
      <c r="BE42" s="72">
        <v>25</v>
      </c>
      <c r="BF42" s="203"/>
      <c r="BG42" s="159">
        <v>1.03</v>
      </c>
      <c r="BH42" s="70" t="s">
        <v>693</v>
      </c>
      <c r="BI42" s="38" t="s">
        <v>645</v>
      </c>
      <c r="BK42" s="447">
        <v>1</v>
      </c>
    </row>
    <row r="43" spans="1:63" ht="24.95" customHeight="1">
      <c r="A43" s="757"/>
      <c r="B43" s="101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  <c r="N43" s="3"/>
      <c r="O43" s="39" t="s">
        <v>251</v>
      </c>
      <c r="P43" s="3"/>
      <c r="Q43" s="183"/>
      <c r="R43" s="3"/>
      <c r="S43" s="3"/>
      <c r="T43" s="3"/>
      <c r="U43" s="3"/>
      <c r="V43" s="98" t="str">
        <f t="shared" si="21"/>
        <v>Contrôler le volume servi, la présentation et servir immédiatement.</v>
      </c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H43" s="750" t="s">
        <v>6993</v>
      </c>
      <c r="AI43" s="748" t="s">
        <v>252</v>
      </c>
      <c r="AJ43" s="748"/>
      <c r="AK43" s="749" t="s">
        <v>253</v>
      </c>
      <c r="AL43" s="749"/>
      <c r="AM43" s="749"/>
      <c r="AN43" s="749"/>
      <c r="AO43" s="746" t="s">
        <v>254</v>
      </c>
      <c r="AP43" s="746"/>
      <c r="AQ43" s="746"/>
      <c r="AR43" s="746"/>
      <c r="AU43" s="39" t="s">
        <v>255</v>
      </c>
      <c r="AV43" s="17" t="s">
        <v>21</v>
      </c>
      <c r="AW43" s="17">
        <v>250</v>
      </c>
      <c r="AX43" s="17" t="s">
        <v>22</v>
      </c>
      <c r="AY43" s="17" t="s">
        <v>256</v>
      </c>
      <c r="AZ43" s="170" t="s">
        <v>257</v>
      </c>
      <c r="BB43" s="4"/>
      <c r="BC43" s="4"/>
      <c r="BE43" s="72">
        <v>35</v>
      </c>
      <c r="BF43" s="203"/>
      <c r="BG43" s="159">
        <v>1.03</v>
      </c>
      <c r="BH43" s="70" t="s">
        <v>694</v>
      </c>
      <c r="BI43" s="38" t="s">
        <v>595</v>
      </c>
      <c r="BK43" s="447">
        <v>1</v>
      </c>
    </row>
    <row r="44" spans="1:63" ht="24.95" customHeight="1">
      <c r="A44" s="757"/>
      <c r="B44" s="10" t="s">
        <v>258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92"/>
      <c r="N44" s="3"/>
      <c r="O44" s="39" t="s">
        <v>255</v>
      </c>
      <c r="P44" s="3"/>
      <c r="Q44" s="356" t="s">
        <v>609</v>
      </c>
      <c r="R44" s="3"/>
      <c r="S44" s="3"/>
      <c r="T44" s="3"/>
      <c r="U44" s="3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H44" s="750"/>
      <c r="AI44" s="748"/>
      <c r="AJ44" s="748"/>
      <c r="AK44" s="749"/>
      <c r="AL44" s="749"/>
      <c r="AM44" s="749"/>
      <c r="AN44" s="749"/>
      <c r="AO44" s="746"/>
      <c r="AP44" s="746"/>
      <c r="AQ44" s="746"/>
      <c r="AR44" s="746"/>
      <c r="AU44" s="99" t="s">
        <v>240</v>
      </c>
      <c r="AV44" s="17" t="s">
        <v>21</v>
      </c>
      <c r="AW44" s="17">
        <v>30</v>
      </c>
      <c r="AX44" s="17" t="s">
        <v>22</v>
      </c>
      <c r="AY44" s="17" t="s">
        <v>240</v>
      </c>
      <c r="AZ44" s="170" t="s">
        <v>257</v>
      </c>
      <c r="BB44" s="4"/>
      <c r="BC44" s="4"/>
      <c r="BE44" s="72">
        <v>40</v>
      </c>
      <c r="BF44" s="203"/>
      <c r="BG44" s="159">
        <v>1.03</v>
      </c>
      <c r="BH44" s="70" t="s">
        <v>695</v>
      </c>
      <c r="BI44" s="38" t="s">
        <v>628</v>
      </c>
      <c r="BK44" s="447">
        <v>1</v>
      </c>
    </row>
    <row r="45" spans="1:63" ht="24.95" customHeight="1">
      <c r="A45" s="757"/>
      <c r="B45" s="102" t="s">
        <v>259</v>
      </c>
      <c r="C45" s="73" t="s">
        <v>83</v>
      </c>
      <c r="D45" s="73"/>
      <c r="E45" s="73"/>
      <c r="F45" s="73"/>
      <c r="G45" s="73"/>
      <c r="H45" s="73"/>
      <c r="I45" s="73"/>
      <c r="J45" s="73"/>
      <c r="K45" s="73"/>
      <c r="L45" s="73"/>
      <c r="M45" s="74"/>
      <c r="N45" s="3"/>
      <c r="O45" s="39" t="s">
        <v>244</v>
      </c>
      <c r="P45" s="3"/>
      <c r="R45" s="3"/>
      <c r="S45" s="3"/>
      <c r="T45" s="3"/>
      <c r="U45" s="3"/>
      <c r="V45" s="103" t="s">
        <v>260</v>
      </c>
      <c r="W45" s="103" t="s">
        <v>209</v>
      </c>
      <c r="X45" s="103"/>
      <c r="Y45" s="103"/>
      <c r="Z45" s="103"/>
      <c r="AA45" s="103"/>
      <c r="AB45" s="103"/>
      <c r="AC45" s="103"/>
      <c r="AD45" s="103"/>
      <c r="AE45" s="103"/>
      <c r="AF45" s="103"/>
      <c r="AH45" s="171" t="s">
        <v>261</v>
      </c>
      <c r="AI45" s="172"/>
      <c r="AJ45" s="165"/>
      <c r="AK45" s="165"/>
      <c r="AL45" s="165"/>
      <c r="AM45" s="165"/>
      <c r="AN45" s="165"/>
      <c r="AO45" s="165"/>
      <c r="AP45" s="165"/>
      <c r="AQ45" s="165"/>
      <c r="AR45" s="165"/>
      <c r="AU45" s="100" t="s">
        <v>248</v>
      </c>
      <c r="AV45" s="17" t="s">
        <v>21</v>
      </c>
      <c r="AW45" s="17">
        <v>90</v>
      </c>
      <c r="AX45" s="17" t="s">
        <v>22</v>
      </c>
      <c r="AY45" s="17" t="s">
        <v>248</v>
      </c>
      <c r="AZ45" s="170" t="s">
        <v>257</v>
      </c>
      <c r="BB45" s="4"/>
      <c r="BC45" s="4"/>
      <c r="BE45" s="72">
        <v>15</v>
      </c>
      <c r="BF45" s="203"/>
      <c r="BG45" s="159">
        <v>1.02</v>
      </c>
      <c r="BH45" s="70" t="s">
        <v>699</v>
      </c>
      <c r="BI45" s="38" t="s">
        <v>576</v>
      </c>
      <c r="BK45" s="447">
        <v>1</v>
      </c>
    </row>
    <row r="46" spans="1:63" ht="24.95" customHeight="1">
      <c r="A46" s="757"/>
      <c r="B46" s="102" t="s">
        <v>262</v>
      </c>
      <c r="C46" s="73" t="s">
        <v>263</v>
      </c>
      <c r="D46" s="73"/>
      <c r="E46" s="73"/>
      <c r="F46" s="73"/>
      <c r="G46" s="73"/>
      <c r="H46" s="73"/>
      <c r="I46" s="73"/>
      <c r="J46" s="73"/>
      <c r="K46" s="73"/>
      <c r="L46" s="73"/>
      <c r="M46" s="74"/>
      <c r="N46" s="3"/>
      <c r="O46" s="39" t="s">
        <v>24</v>
      </c>
      <c r="P46" s="3"/>
      <c r="Q46" s="745" t="s">
        <v>577</v>
      </c>
      <c r="R46" s="3"/>
      <c r="S46" s="3"/>
      <c r="T46" s="3"/>
      <c r="U46" s="3"/>
      <c r="V46" s="98" t="str">
        <f>IF(C45="","",C45)</f>
        <v>Tumbler (Old Fashioned)</v>
      </c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H46" s="172" t="s">
        <v>264</v>
      </c>
      <c r="AI46" s="172"/>
      <c r="AJ46" s="165"/>
      <c r="AK46" s="172"/>
      <c r="AL46" s="165"/>
      <c r="AM46" s="165"/>
      <c r="AN46" s="165"/>
      <c r="AO46" s="172"/>
      <c r="AP46" s="165"/>
      <c r="AQ46" s="165"/>
      <c r="AR46" s="165"/>
      <c r="AU46" s="39" t="s">
        <v>265</v>
      </c>
      <c r="AV46" s="17" t="s">
        <v>21</v>
      </c>
      <c r="AW46" s="17">
        <v>250</v>
      </c>
      <c r="AX46" s="17" t="s">
        <v>22</v>
      </c>
      <c r="AY46" s="17" t="s">
        <v>266</v>
      </c>
      <c r="AZ46" s="170" t="s">
        <v>257</v>
      </c>
      <c r="BB46" s="4"/>
      <c r="BC46" s="4"/>
      <c r="BE46" s="72">
        <v>40</v>
      </c>
      <c r="BF46" s="203"/>
      <c r="BG46" s="159">
        <v>0.96</v>
      </c>
      <c r="BH46" s="70" t="s">
        <v>700</v>
      </c>
      <c r="BI46" s="38" t="s">
        <v>576</v>
      </c>
      <c r="BK46" s="447">
        <v>1</v>
      </c>
    </row>
    <row r="47" spans="1:63" ht="24.95" customHeight="1">
      <c r="A47" s="757"/>
      <c r="B47" s="104" t="s">
        <v>267</v>
      </c>
      <c r="C47" s="105" t="s">
        <v>124</v>
      </c>
      <c r="D47" s="73"/>
      <c r="E47" s="73"/>
      <c r="F47" s="73"/>
      <c r="G47" s="73"/>
      <c r="H47" s="73"/>
      <c r="I47" s="73"/>
      <c r="J47" s="73"/>
      <c r="K47" s="73"/>
      <c r="L47" s="73"/>
      <c r="M47" s="74"/>
      <c r="N47" s="3"/>
      <c r="O47" s="39" t="s">
        <v>268</v>
      </c>
      <c r="P47" s="3"/>
      <c r="Q47" s="745"/>
      <c r="R47" s="3"/>
      <c r="S47" s="3"/>
      <c r="T47" s="3"/>
      <c r="U47" s="3"/>
      <c r="V47" s="98" t="str">
        <f>IF(C46="","",C46)</f>
        <v>Doseur / jigger ; cuillère à mélange ; bec verseur ; pince à glaçons</v>
      </c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H47" s="172" t="s">
        <v>269</v>
      </c>
      <c r="AI47" s="172"/>
      <c r="AJ47" s="173"/>
      <c r="AK47" s="173"/>
      <c r="AL47" s="165"/>
      <c r="AM47" s="165"/>
      <c r="AN47" s="165"/>
      <c r="AO47" s="165"/>
      <c r="AP47" s="165"/>
      <c r="AQ47" s="165"/>
      <c r="AR47" s="165"/>
      <c r="AU47" s="39" t="s">
        <v>270</v>
      </c>
      <c r="AV47" s="17" t="s">
        <v>21</v>
      </c>
      <c r="AW47" s="17">
        <v>75</v>
      </c>
      <c r="AX47" s="17" t="s">
        <v>22</v>
      </c>
      <c r="AY47" s="17" t="s">
        <v>271</v>
      </c>
      <c r="AZ47" s="170" t="s">
        <v>257</v>
      </c>
      <c r="BB47" s="4"/>
      <c r="BC47" s="4"/>
      <c r="BE47" s="72">
        <v>40</v>
      </c>
      <c r="BF47" s="203"/>
      <c r="BG47" s="159">
        <v>0.94</v>
      </c>
      <c r="BH47" s="70" t="s">
        <v>701</v>
      </c>
      <c r="BI47" s="38" t="s">
        <v>576</v>
      </c>
      <c r="BK47" s="447">
        <v>1</v>
      </c>
    </row>
    <row r="48" spans="1:63" ht="24.95" customHeight="1">
      <c r="A48" s="758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7" t="s">
        <v>272</v>
      </c>
      <c r="N48" s="3"/>
      <c r="O48" s="39" t="s">
        <v>273</v>
      </c>
      <c r="P48" s="3"/>
      <c r="Q48" s="193"/>
      <c r="R48" s="3"/>
      <c r="S48" s="3"/>
      <c r="T48" s="3"/>
      <c r="U48" s="3"/>
      <c r="V48" s="98" t="str">
        <f>IF(C47="","",C47)</f>
        <v>https://www.destinationcocktails.fr/recette/americano-cocktail/</v>
      </c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H48" s="168" t="s">
        <v>274</v>
      </c>
      <c r="AI48" s="165"/>
      <c r="AJ48" s="173"/>
      <c r="AK48" s="173"/>
      <c r="AL48" s="165"/>
      <c r="AM48" s="165"/>
      <c r="AN48" s="165"/>
      <c r="AO48" s="165"/>
      <c r="AP48" s="165"/>
      <c r="AQ48" s="165"/>
      <c r="AR48" s="165"/>
      <c r="AU48" s="39" t="s">
        <v>24</v>
      </c>
      <c r="AV48" s="17" t="s">
        <v>21</v>
      </c>
      <c r="AW48" s="17">
        <v>350</v>
      </c>
      <c r="AX48" s="17" t="s">
        <v>22</v>
      </c>
      <c r="AY48" s="17" t="s">
        <v>275</v>
      </c>
      <c r="AZ48" s="174" t="s">
        <v>276</v>
      </c>
      <c r="BB48" s="4"/>
      <c r="BC48" s="4"/>
      <c r="BE48" s="72">
        <v>40</v>
      </c>
      <c r="BF48" s="203"/>
      <c r="BG48" s="159">
        <v>0.94</v>
      </c>
      <c r="BH48" s="70" t="s">
        <v>703</v>
      </c>
      <c r="BI48" s="38" t="s">
        <v>704</v>
      </c>
      <c r="BK48" s="447">
        <v>1</v>
      </c>
    </row>
    <row r="49" spans="14:63" ht="24.95" customHeight="1">
      <c r="N49" s="3"/>
      <c r="O49" s="39" t="s">
        <v>29</v>
      </c>
      <c r="P49" s="3"/>
      <c r="Q49" s="357" t="s">
        <v>590</v>
      </c>
      <c r="R49" s="3"/>
      <c r="S49" s="357" t="s">
        <v>591</v>
      </c>
      <c r="T49" s="378" t="s">
        <v>592</v>
      </c>
      <c r="U49" s="3"/>
      <c r="V49" s="108" t="s">
        <v>277</v>
      </c>
      <c r="W49" s="108"/>
      <c r="X49" s="108"/>
      <c r="Y49" s="108"/>
      <c r="Z49" s="108"/>
      <c r="AA49" s="108"/>
      <c r="AB49" s="108"/>
      <c r="AC49" s="108"/>
      <c r="AD49" s="108"/>
      <c r="AE49" s="108"/>
      <c r="AF49" s="109" t="s">
        <v>277</v>
      </c>
      <c r="AH49" s="168" t="s">
        <v>278</v>
      </c>
      <c r="AI49" s="172"/>
      <c r="AJ49" s="173"/>
      <c r="AK49" s="173"/>
      <c r="AL49" s="165"/>
      <c r="AM49" s="165"/>
      <c r="AN49" s="165"/>
      <c r="AO49" s="165"/>
      <c r="AP49" s="165"/>
      <c r="AQ49" s="165"/>
      <c r="AR49" s="165"/>
      <c r="AU49" s="39" t="s">
        <v>33</v>
      </c>
      <c r="AV49" s="17" t="s">
        <v>21</v>
      </c>
      <c r="AW49" s="17">
        <v>400</v>
      </c>
      <c r="AX49" s="17" t="s">
        <v>22</v>
      </c>
      <c r="AY49" s="17" t="s">
        <v>279</v>
      </c>
      <c r="AZ49" s="174" t="s">
        <v>276</v>
      </c>
      <c r="BB49" s="4"/>
      <c r="BC49" s="4"/>
      <c r="BE49" s="72">
        <v>30</v>
      </c>
      <c r="BF49" s="203"/>
      <c r="BG49" s="159">
        <v>1.04</v>
      </c>
      <c r="BH49" s="70" t="s">
        <v>705</v>
      </c>
      <c r="BI49" s="38" t="s">
        <v>706</v>
      </c>
      <c r="BK49" s="447">
        <v>1</v>
      </c>
    </row>
    <row r="50" spans="14:63" ht="24.95" customHeight="1">
      <c r="N50" s="3"/>
      <c r="O50" s="39" t="s">
        <v>280</v>
      </c>
      <c r="P50" s="3"/>
      <c r="Q50" s="358"/>
      <c r="R50" s="3"/>
      <c r="S50" s="358"/>
      <c r="T50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168" t="s">
        <v>281</v>
      </c>
      <c r="AI50" s="172"/>
      <c r="AJ50" s="173"/>
      <c r="AK50" s="173"/>
      <c r="AL50" s="165"/>
      <c r="AM50" s="165"/>
      <c r="AN50" s="165"/>
      <c r="AO50" s="165"/>
      <c r="AP50" s="165"/>
      <c r="AQ50" s="165"/>
      <c r="AR50" s="165"/>
      <c r="AS50" s="3"/>
      <c r="AT50" s="3"/>
      <c r="AU50" s="39" t="s">
        <v>40</v>
      </c>
      <c r="AV50" s="17" t="s">
        <v>21</v>
      </c>
      <c r="AW50" s="17">
        <v>180</v>
      </c>
      <c r="AX50" s="17" t="s">
        <v>22</v>
      </c>
      <c r="AY50" s="17" t="s">
        <v>282</v>
      </c>
      <c r="AZ50" s="174" t="s">
        <v>276</v>
      </c>
      <c r="BB50" s="4"/>
      <c r="BC50" s="4"/>
      <c r="BE50" s="72">
        <v>40</v>
      </c>
      <c r="BF50" s="203"/>
      <c r="BG50" s="159">
        <v>0.99</v>
      </c>
      <c r="BH50" s="70" t="s">
        <v>707</v>
      </c>
      <c r="BI50" s="38" t="s">
        <v>573</v>
      </c>
      <c r="BK50" s="447">
        <v>1</v>
      </c>
    </row>
    <row r="51" spans="14:63" ht="24.95" customHeight="1">
      <c r="N51" s="3"/>
      <c r="O51" s="39" t="s">
        <v>283</v>
      </c>
      <c r="P51" s="3"/>
      <c r="Q51" s="32" t="s">
        <v>74</v>
      </c>
      <c r="R51" s="3"/>
      <c r="S51" s="360" t="s">
        <v>610</v>
      </c>
      <c r="T51" s="376" t="s">
        <v>611</v>
      </c>
      <c r="U51" s="3"/>
      <c r="V51" s="175" t="s">
        <v>284</v>
      </c>
      <c r="W51" s="175" t="s">
        <v>285</v>
      </c>
      <c r="X51" s="176"/>
      <c r="Y51" s="176"/>
      <c r="Z51" s="176"/>
      <c r="AA51" s="176"/>
      <c r="AB51" s="176"/>
      <c r="AC51" s="176"/>
      <c r="AD51" s="176"/>
      <c r="AE51" s="176"/>
      <c r="AF51" s="176"/>
      <c r="AH51" s="168" t="s">
        <v>286</v>
      </c>
      <c r="AI51" s="172"/>
      <c r="AJ51" s="173"/>
      <c r="AK51" s="173"/>
      <c r="AL51" s="165"/>
      <c r="AM51" s="165"/>
      <c r="AN51" s="165"/>
      <c r="AO51" s="165"/>
      <c r="AP51" s="165"/>
      <c r="AQ51" s="165"/>
      <c r="AR51" s="165"/>
      <c r="AU51" s="39" t="s">
        <v>43</v>
      </c>
      <c r="AV51" s="17" t="s">
        <v>21</v>
      </c>
      <c r="AW51" s="17">
        <v>240</v>
      </c>
      <c r="AX51" s="17" t="s">
        <v>22</v>
      </c>
      <c r="AY51" s="17" t="s">
        <v>287</v>
      </c>
      <c r="AZ51" s="174" t="s">
        <v>276</v>
      </c>
      <c r="BB51" s="4"/>
      <c r="BC51" s="4"/>
      <c r="BE51" s="72">
        <v>30</v>
      </c>
      <c r="BF51" s="203"/>
      <c r="BG51" s="159">
        <v>1.02</v>
      </c>
      <c r="BH51" s="70" t="s">
        <v>711</v>
      </c>
      <c r="BI51" s="38" t="s">
        <v>576</v>
      </c>
      <c r="BK51" s="447">
        <v>1</v>
      </c>
    </row>
    <row r="52" spans="14:63" ht="24.95" customHeight="1">
      <c r="N52" s="3"/>
      <c r="O52" s="39" t="s">
        <v>33</v>
      </c>
      <c r="P52" s="3"/>
      <c r="Q52" s="204"/>
      <c r="R52" s="3"/>
      <c r="S52" s="204"/>
      <c r="T52" s="376"/>
      <c r="U52" s="3"/>
      <c r="V52" s="14" t="s">
        <v>98</v>
      </c>
      <c r="W52" s="177" t="s">
        <v>288</v>
      </c>
      <c r="X52" s="15"/>
      <c r="Y52" s="15"/>
      <c r="Z52" s="15"/>
      <c r="AA52" s="15"/>
      <c r="AB52" s="15"/>
      <c r="AC52" s="15"/>
      <c r="AD52" s="15"/>
      <c r="AE52" s="15"/>
      <c r="AF52" s="15"/>
      <c r="AH52" s="172" t="s">
        <v>289</v>
      </c>
      <c r="AI52" s="172"/>
      <c r="AJ52" s="173"/>
      <c r="AK52" s="173"/>
      <c r="AL52" s="165"/>
      <c r="AM52" s="165"/>
      <c r="AN52" s="165"/>
      <c r="AO52" s="165"/>
      <c r="AP52" s="165"/>
      <c r="AQ52" s="165"/>
      <c r="AR52" s="165"/>
      <c r="AU52" s="39" t="s">
        <v>46</v>
      </c>
      <c r="AV52" s="17" t="s">
        <v>21</v>
      </c>
      <c r="AW52" s="17">
        <v>240</v>
      </c>
      <c r="AX52" s="17" t="s">
        <v>22</v>
      </c>
      <c r="AY52" s="17" t="s">
        <v>290</v>
      </c>
      <c r="AZ52" s="174" t="s">
        <v>276</v>
      </c>
      <c r="BB52" s="4"/>
      <c r="BC52" s="4"/>
      <c r="BE52" s="72">
        <v>40</v>
      </c>
      <c r="BF52" s="203"/>
      <c r="BG52" s="159">
        <v>0.95</v>
      </c>
      <c r="BH52" s="70" t="s">
        <v>712</v>
      </c>
      <c r="BI52" s="38" t="s">
        <v>620</v>
      </c>
      <c r="BK52" s="447">
        <v>1</v>
      </c>
    </row>
    <row r="53" spans="14:63" ht="24.95" customHeight="1">
      <c r="N53" s="3"/>
      <c r="O53" s="39" t="s">
        <v>40</v>
      </c>
      <c r="P53" s="3"/>
      <c r="Q53" s="361" t="s">
        <v>621</v>
      </c>
      <c r="R53" s="3"/>
      <c r="S53" s="361" t="s">
        <v>622</v>
      </c>
      <c r="T53" s="376" t="s">
        <v>623</v>
      </c>
      <c r="U53" s="3"/>
      <c r="V53" s="14" t="s">
        <v>105</v>
      </c>
      <c r="W53" s="177" t="s">
        <v>291</v>
      </c>
      <c r="X53" s="15"/>
      <c r="Y53" s="15"/>
      <c r="Z53" s="15"/>
      <c r="AA53" s="15"/>
      <c r="AB53" s="15"/>
      <c r="AC53" s="15"/>
      <c r="AD53" s="15"/>
      <c r="AE53" s="15"/>
      <c r="AF53" s="15"/>
      <c r="AH53" s="178" t="s">
        <v>292</v>
      </c>
      <c r="AI53" s="172"/>
      <c r="AJ53" s="173"/>
      <c r="AK53" s="173"/>
      <c r="AL53" s="165"/>
      <c r="AM53" s="165"/>
      <c r="AN53" s="165"/>
      <c r="AO53" s="165"/>
      <c r="AP53" s="165"/>
      <c r="AQ53" s="165"/>
      <c r="AR53" s="165"/>
      <c r="AU53" s="39" t="s">
        <v>49</v>
      </c>
      <c r="AV53" s="17" t="s">
        <v>21</v>
      </c>
      <c r="AW53" s="17">
        <v>180</v>
      </c>
      <c r="AX53" s="17" t="s">
        <v>22</v>
      </c>
      <c r="AY53" s="17" t="s">
        <v>293</v>
      </c>
      <c r="AZ53" s="174" t="s">
        <v>276</v>
      </c>
      <c r="BB53" s="4"/>
      <c r="BC53" s="4"/>
      <c r="BE53" s="72">
        <v>35</v>
      </c>
      <c r="BF53" s="203"/>
      <c r="BG53" s="159">
        <v>1.05</v>
      </c>
      <c r="BH53" s="70" t="s">
        <v>713</v>
      </c>
      <c r="BI53" s="38" t="s">
        <v>595</v>
      </c>
      <c r="BK53" s="447">
        <v>1</v>
      </c>
    </row>
    <row r="54" spans="14:63" ht="24.95" customHeight="1">
      <c r="N54" s="3"/>
      <c r="O54" s="39" t="s">
        <v>43</v>
      </c>
      <c r="P54" s="3"/>
      <c r="Q54" s="204"/>
      <c r="S54" s="204"/>
      <c r="T54" s="376"/>
      <c r="V54" s="14" t="s">
        <v>113</v>
      </c>
      <c r="W54" s="177" t="s">
        <v>294</v>
      </c>
      <c r="X54" s="15"/>
      <c r="Y54" s="15"/>
      <c r="Z54" s="15"/>
      <c r="AA54" s="15"/>
      <c r="AB54" s="15"/>
      <c r="AC54" s="15"/>
      <c r="AD54" s="15"/>
      <c r="AE54" s="15"/>
      <c r="AF54" s="15"/>
      <c r="AH54" s="178" t="s">
        <v>295</v>
      </c>
      <c r="AI54" s="172"/>
      <c r="AJ54" s="173"/>
      <c r="AK54" s="173"/>
      <c r="AL54" s="165"/>
      <c r="AM54" s="165"/>
      <c r="AN54" s="165"/>
      <c r="AO54" s="165"/>
      <c r="AP54" s="165"/>
      <c r="AQ54" s="165"/>
      <c r="AR54" s="165"/>
      <c r="AU54" s="39" t="s">
        <v>53</v>
      </c>
      <c r="AV54" s="17" t="s">
        <v>21</v>
      </c>
      <c r="AW54" s="17">
        <v>120</v>
      </c>
      <c r="AX54" s="17" t="s">
        <v>22</v>
      </c>
      <c r="AY54" s="17" t="s">
        <v>296</v>
      </c>
      <c r="AZ54" s="174" t="s">
        <v>276</v>
      </c>
      <c r="BB54" s="4"/>
      <c r="BC54" s="4"/>
      <c r="BE54" s="72">
        <v>40</v>
      </c>
      <c r="BF54" s="203"/>
      <c r="BG54" s="159">
        <v>1.04</v>
      </c>
      <c r="BH54" s="70" t="s">
        <v>679</v>
      </c>
      <c r="BI54" s="38" t="s">
        <v>576</v>
      </c>
      <c r="BK54" s="447">
        <v>1</v>
      </c>
    </row>
    <row r="55" spans="14:63" ht="24.95" customHeight="1">
      <c r="N55" s="3"/>
      <c r="O55" s="39" t="s">
        <v>46</v>
      </c>
      <c r="P55" s="3"/>
      <c r="Q55" s="362" t="s">
        <v>631</v>
      </c>
      <c r="S55" s="362" t="s">
        <v>632</v>
      </c>
      <c r="T55" s="376" t="s">
        <v>633</v>
      </c>
      <c r="V55" s="14" t="s">
        <v>118</v>
      </c>
      <c r="W55" s="179" t="s">
        <v>297</v>
      </c>
      <c r="X55" s="15"/>
      <c r="Y55" s="15"/>
      <c r="Z55" s="15"/>
      <c r="AA55" s="15"/>
      <c r="AB55" s="15"/>
      <c r="AC55" s="15"/>
      <c r="AD55" s="15"/>
      <c r="AE55" s="15"/>
      <c r="AF55" s="15"/>
      <c r="AH55" s="172" t="s">
        <v>298</v>
      </c>
      <c r="AI55" s="172"/>
      <c r="AJ55" s="173"/>
      <c r="AK55" s="173"/>
      <c r="AL55" s="165"/>
      <c r="AM55" s="165"/>
      <c r="AN55" s="165"/>
      <c r="AO55" s="165"/>
      <c r="AP55" s="165"/>
      <c r="AQ55" s="165"/>
      <c r="AR55" s="165"/>
      <c r="AU55" s="39" t="s">
        <v>58</v>
      </c>
      <c r="AV55" s="17" t="s">
        <v>21</v>
      </c>
      <c r="AW55" s="17">
        <v>200</v>
      </c>
      <c r="AX55" s="17" t="s">
        <v>22</v>
      </c>
      <c r="AY55" s="17" t="s">
        <v>58</v>
      </c>
      <c r="AZ55" s="174" t="s">
        <v>276</v>
      </c>
      <c r="BB55" s="4"/>
      <c r="BC55" s="4"/>
      <c r="BE55" s="72">
        <v>40</v>
      </c>
      <c r="BF55" s="203"/>
      <c r="BG55" s="159">
        <v>0.94</v>
      </c>
      <c r="BH55" s="70" t="s">
        <v>717</v>
      </c>
      <c r="BI55" s="38" t="s">
        <v>595</v>
      </c>
      <c r="BK55" s="447">
        <v>1</v>
      </c>
    </row>
    <row r="56" spans="14:63" ht="24.95" customHeight="1">
      <c r="N56" s="3"/>
      <c r="O56" s="39" t="s">
        <v>299</v>
      </c>
      <c r="P56" s="3"/>
      <c r="Q56" s="204"/>
      <c r="S56" s="204"/>
      <c r="T56" s="376"/>
      <c r="V56" s="14" t="s">
        <v>126</v>
      </c>
      <c r="W56" s="177" t="s">
        <v>300</v>
      </c>
      <c r="X56" s="15"/>
      <c r="Y56" s="15"/>
      <c r="Z56" s="15"/>
      <c r="AA56" s="15"/>
      <c r="AB56" s="15"/>
      <c r="AC56" s="15"/>
      <c r="AD56" s="15"/>
      <c r="AE56" s="15"/>
      <c r="AF56" s="15"/>
      <c r="AU56" s="39" t="s">
        <v>79</v>
      </c>
      <c r="AV56" s="17" t="s">
        <v>21</v>
      </c>
      <c r="AW56" s="17">
        <v>400</v>
      </c>
      <c r="AX56" s="17" t="s">
        <v>22</v>
      </c>
      <c r="AY56" s="17" t="s">
        <v>301</v>
      </c>
      <c r="AZ56" s="174" t="s">
        <v>276</v>
      </c>
      <c r="BB56" s="4"/>
      <c r="BC56" s="4"/>
      <c r="BE56" s="72">
        <v>35</v>
      </c>
      <c r="BF56" s="203"/>
      <c r="BG56" s="159">
        <v>1.03</v>
      </c>
      <c r="BH56" s="70" t="s">
        <v>718</v>
      </c>
      <c r="BI56" s="38" t="s">
        <v>605</v>
      </c>
      <c r="BK56" s="447">
        <v>1</v>
      </c>
    </row>
    <row r="57" spans="14:63" ht="24.95" customHeight="1">
      <c r="N57" s="3"/>
      <c r="O57" s="39" t="s">
        <v>302</v>
      </c>
      <c r="P57" s="3"/>
      <c r="Q57" s="363" t="s">
        <v>640</v>
      </c>
      <c r="S57" s="363" t="s">
        <v>641</v>
      </c>
      <c r="T57" s="376" t="s">
        <v>642</v>
      </c>
      <c r="V57" s="14" t="s">
        <v>134</v>
      </c>
      <c r="W57" s="177" t="s">
        <v>303</v>
      </c>
      <c r="X57" s="15"/>
      <c r="Y57" s="15"/>
      <c r="Z57" s="15"/>
      <c r="AA57" s="15"/>
      <c r="AB57" s="15"/>
      <c r="AC57" s="15"/>
      <c r="AD57" s="15"/>
      <c r="AE57" s="15"/>
      <c r="AF57" s="15"/>
      <c r="AU57" s="39" t="s">
        <v>109</v>
      </c>
      <c r="AV57" s="17" t="s">
        <v>21</v>
      </c>
      <c r="AW57" s="17">
        <v>240</v>
      </c>
      <c r="AX57" s="17" t="s">
        <v>22</v>
      </c>
      <c r="AY57" s="17" t="s">
        <v>304</v>
      </c>
      <c r="AZ57" s="174" t="s">
        <v>276</v>
      </c>
      <c r="BB57" s="4"/>
      <c r="BC57" s="4"/>
      <c r="BE57" s="72">
        <v>35</v>
      </c>
      <c r="BF57" s="203"/>
      <c r="BG57" s="159">
        <v>1.03</v>
      </c>
      <c r="BH57" s="70" t="s">
        <v>722</v>
      </c>
      <c r="BI57" s="38" t="s">
        <v>595</v>
      </c>
      <c r="BK57" s="447">
        <v>1</v>
      </c>
    </row>
    <row r="58" spans="14:63" ht="24.95" customHeight="1">
      <c r="N58" s="3"/>
      <c r="O58" s="39" t="s">
        <v>305</v>
      </c>
      <c r="P58" s="3"/>
      <c r="Q58" s="204"/>
      <c r="S58" s="204"/>
      <c r="T58" s="376"/>
      <c r="V58" s="14" t="s">
        <v>152</v>
      </c>
      <c r="W58" s="177" t="s">
        <v>306</v>
      </c>
      <c r="X58" s="15"/>
      <c r="Y58" s="15"/>
      <c r="Z58" s="15"/>
      <c r="AA58" s="15"/>
      <c r="AB58" s="15"/>
      <c r="AC58" s="15"/>
      <c r="AD58" s="15"/>
      <c r="AE58" s="15"/>
      <c r="AF58" s="15"/>
      <c r="AU58" s="39" t="s">
        <v>120</v>
      </c>
      <c r="AV58" s="17" t="s">
        <v>21</v>
      </c>
      <c r="AW58" s="17">
        <v>500</v>
      </c>
      <c r="AX58" s="17" t="s">
        <v>22</v>
      </c>
      <c r="AY58" s="17" t="s">
        <v>120</v>
      </c>
      <c r="AZ58" s="174" t="s">
        <v>276</v>
      </c>
      <c r="BB58" s="4"/>
      <c r="BC58" s="4"/>
      <c r="BE58" s="72">
        <v>15</v>
      </c>
      <c r="BF58" s="203"/>
      <c r="BG58" s="159">
        <v>1.02</v>
      </c>
      <c r="BH58" s="70" t="s">
        <v>723</v>
      </c>
      <c r="BI58" s="38" t="s">
        <v>576</v>
      </c>
      <c r="BK58" s="447">
        <v>1</v>
      </c>
    </row>
    <row r="59" spans="14:63" ht="24.95" customHeight="1">
      <c r="O59" s="39" t="s">
        <v>307</v>
      </c>
      <c r="Q59" s="357" t="s">
        <v>651</v>
      </c>
      <c r="S59" s="357" t="s">
        <v>652</v>
      </c>
      <c r="T59" s="376" t="s">
        <v>653</v>
      </c>
      <c r="V59" s="14" t="s">
        <v>158</v>
      </c>
      <c r="W59" s="177" t="s">
        <v>308</v>
      </c>
      <c r="X59" s="15"/>
      <c r="Y59" s="15"/>
      <c r="Z59" s="15"/>
      <c r="AA59" s="15"/>
      <c r="AB59" s="15"/>
      <c r="AC59" s="15"/>
      <c r="AD59" s="15"/>
      <c r="AE59" s="15"/>
      <c r="AF59" s="15"/>
      <c r="AU59" s="39" t="s">
        <v>130</v>
      </c>
      <c r="AV59" s="17" t="s">
        <v>21</v>
      </c>
      <c r="AW59" s="17">
        <v>215</v>
      </c>
      <c r="AX59" s="17" t="s">
        <v>22</v>
      </c>
      <c r="AY59" s="17" t="s">
        <v>309</v>
      </c>
      <c r="AZ59" s="174" t="s">
        <v>276</v>
      </c>
      <c r="BB59" s="4"/>
      <c r="BC59" s="4"/>
      <c r="BE59" s="72">
        <v>40</v>
      </c>
      <c r="BF59" s="203"/>
      <c r="BG59" s="159">
        <v>0.94</v>
      </c>
      <c r="BH59" s="70" t="s">
        <v>724</v>
      </c>
      <c r="BI59" s="38" t="s">
        <v>576</v>
      </c>
      <c r="BK59" s="447">
        <v>1</v>
      </c>
    </row>
    <row r="60" spans="14:63" ht="24.95" customHeight="1">
      <c r="O60" s="39" t="s">
        <v>310</v>
      </c>
      <c r="Q60" s="375"/>
      <c r="S60" s="375"/>
      <c r="T60" s="376"/>
      <c r="V60" s="14" t="s">
        <v>35</v>
      </c>
      <c r="W60" s="177" t="s">
        <v>311</v>
      </c>
      <c r="X60" s="165"/>
      <c r="Y60" s="165"/>
      <c r="Z60" s="165"/>
      <c r="AA60" s="165"/>
      <c r="AB60" s="165"/>
      <c r="AC60" s="165"/>
      <c r="AD60" s="165"/>
      <c r="AE60" s="165"/>
      <c r="AF60" s="165"/>
      <c r="AU60" s="39" t="s">
        <v>140</v>
      </c>
      <c r="AV60" s="17" t="s">
        <v>21</v>
      </c>
      <c r="AW60" s="17">
        <v>200</v>
      </c>
      <c r="AX60" s="17" t="s">
        <v>22</v>
      </c>
      <c r="AY60" s="17" t="s">
        <v>312</v>
      </c>
      <c r="AZ60" s="174" t="s">
        <v>276</v>
      </c>
      <c r="BB60" s="4"/>
      <c r="BC60" s="4"/>
      <c r="BE60" s="72">
        <v>40</v>
      </c>
      <c r="BF60" s="203"/>
      <c r="BG60" s="159">
        <v>1.05</v>
      </c>
      <c r="BH60" s="70" t="s">
        <v>728</v>
      </c>
      <c r="BI60" s="38" t="s">
        <v>628</v>
      </c>
      <c r="BK60" s="447">
        <v>1</v>
      </c>
    </row>
    <row r="61" spans="14:63" ht="24.95" customHeight="1">
      <c r="O61" s="39" t="s">
        <v>313</v>
      </c>
      <c r="Q61" s="364" t="s">
        <v>661</v>
      </c>
      <c r="S61" s="364" t="s">
        <v>662</v>
      </c>
      <c r="T61" s="376" t="s">
        <v>663</v>
      </c>
      <c r="AU61" s="39" t="s">
        <v>175</v>
      </c>
      <c r="AV61" s="17" t="s">
        <v>21</v>
      </c>
      <c r="AW61" s="17">
        <v>350</v>
      </c>
      <c r="AX61" s="17" t="s">
        <v>22</v>
      </c>
      <c r="AY61" s="17" t="s">
        <v>314</v>
      </c>
      <c r="AZ61" s="174" t="s">
        <v>276</v>
      </c>
      <c r="BB61" s="4"/>
      <c r="BC61" s="4"/>
      <c r="BE61" s="72">
        <v>17</v>
      </c>
      <c r="BF61" s="203"/>
      <c r="BG61" s="159">
        <v>1.02</v>
      </c>
      <c r="BH61" s="70" t="s">
        <v>729</v>
      </c>
      <c r="BI61" s="38" t="s">
        <v>583</v>
      </c>
      <c r="BK61" s="447">
        <v>1</v>
      </c>
    </row>
    <row r="62" spans="14:63" ht="24.95" customHeight="1">
      <c r="O62" s="39" t="s">
        <v>49</v>
      </c>
      <c r="Q62" s="375"/>
      <c r="S62" s="375"/>
      <c r="T62" s="376"/>
      <c r="V62" s="736" t="s">
        <v>546</v>
      </c>
      <c r="W62" s="737"/>
      <c r="X62" s="737"/>
      <c r="Y62" s="738"/>
      <c r="AU62" s="39" t="s">
        <v>179</v>
      </c>
      <c r="AV62" s="17" t="s">
        <v>21</v>
      </c>
      <c r="AW62" s="17">
        <v>150</v>
      </c>
      <c r="AX62" s="17" t="s">
        <v>22</v>
      </c>
      <c r="AY62" s="17" t="s">
        <v>315</v>
      </c>
      <c r="AZ62" s="174" t="s">
        <v>276</v>
      </c>
      <c r="BB62" s="4"/>
      <c r="BC62" s="4"/>
      <c r="BE62" s="72">
        <v>25</v>
      </c>
      <c r="BF62" s="203"/>
      <c r="BG62" s="159">
        <v>1.05</v>
      </c>
      <c r="BH62" s="70" t="s">
        <v>730</v>
      </c>
      <c r="BI62" s="38" t="s">
        <v>588</v>
      </c>
      <c r="BK62" s="447">
        <v>1</v>
      </c>
    </row>
    <row r="63" spans="14:63" ht="24.95" customHeight="1">
      <c r="O63" s="39" t="s">
        <v>316</v>
      </c>
      <c r="Q63" s="364" t="s">
        <v>670</v>
      </c>
      <c r="S63" s="364" t="s">
        <v>671</v>
      </c>
      <c r="T63" s="376" t="s">
        <v>672</v>
      </c>
      <c r="V63" s="195" t="s">
        <v>549</v>
      </c>
      <c r="W63" s="196"/>
      <c r="X63" s="196"/>
      <c r="Y63" s="196"/>
      <c r="AU63" s="39" t="s">
        <v>183</v>
      </c>
      <c r="AV63" s="17" t="s">
        <v>21</v>
      </c>
      <c r="AW63" s="17">
        <v>570</v>
      </c>
      <c r="AX63" s="17" t="s">
        <v>22</v>
      </c>
      <c r="AY63" s="17" t="s">
        <v>317</v>
      </c>
      <c r="AZ63" s="174" t="s">
        <v>276</v>
      </c>
      <c r="BB63" s="4"/>
      <c r="BC63" s="4"/>
      <c r="BE63" s="72">
        <v>25</v>
      </c>
      <c r="BF63" s="203"/>
      <c r="BG63" s="159">
        <v>1.05</v>
      </c>
      <c r="BH63" s="70" t="s">
        <v>733</v>
      </c>
      <c r="BI63" s="38" t="s">
        <v>605</v>
      </c>
      <c r="BK63" s="447">
        <v>1</v>
      </c>
    </row>
    <row r="64" spans="14:63" ht="24.95" customHeight="1">
      <c r="O64" s="39" t="s">
        <v>318</v>
      </c>
      <c r="Q64" s="375"/>
      <c r="S64" s="375"/>
      <c r="T64" s="376"/>
      <c r="V64" s="197" t="s">
        <v>551</v>
      </c>
      <c r="W64" s="196"/>
      <c r="X64" s="196"/>
      <c r="Y64" s="196"/>
      <c r="AU64" s="39" t="s">
        <v>187</v>
      </c>
      <c r="AV64" s="17" t="s">
        <v>21</v>
      </c>
      <c r="AW64" s="17">
        <v>470</v>
      </c>
      <c r="AX64" s="17" t="s">
        <v>22</v>
      </c>
      <c r="AY64" s="17" t="s">
        <v>319</v>
      </c>
      <c r="AZ64" s="174" t="s">
        <v>276</v>
      </c>
      <c r="BB64" s="4"/>
      <c r="BC64" s="4"/>
      <c r="BE64" s="72">
        <v>24</v>
      </c>
      <c r="BF64" s="203"/>
      <c r="BG64" s="159">
        <v>1.03</v>
      </c>
      <c r="BH64" s="70" t="s">
        <v>734</v>
      </c>
      <c r="BI64" s="38" t="s">
        <v>735</v>
      </c>
      <c r="BK64" s="447">
        <v>1</v>
      </c>
    </row>
    <row r="65" spans="15:63" ht="24.95" customHeight="1">
      <c r="O65" s="39" t="s">
        <v>320</v>
      </c>
      <c r="Q65" s="364" t="s">
        <v>683</v>
      </c>
      <c r="S65" s="364" t="s">
        <v>684</v>
      </c>
      <c r="T65" s="376" t="s">
        <v>685</v>
      </c>
      <c r="V65" s="195" t="s">
        <v>553</v>
      </c>
      <c r="W65" s="196"/>
      <c r="X65" s="196"/>
      <c r="Y65" s="196"/>
      <c r="AU65" s="39" t="s">
        <v>191</v>
      </c>
      <c r="AV65" s="17" t="s">
        <v>21</v>
      </c>
      <c r="AW65" s="17">
        <v>400</v>
      </c>
      <c r="AX65" s="17" t="s">
        <v>22</v>
      </c>
      <c r="AY65" s="17" t="s">
        <v>321</v>
      </c>
      <c r="AZ65" s="174" t="s">
        <v>276</v>
      </c>
      <c r="BB65" s="4"/>
      <c r="BC65" s="4"/>
      <c r="BE65" s="72">
        <v>30</v>
      </c>
      <c r="BF65" s="203"/>
      <c r="BG65" s="159">
        <v>1.05</v>
      </c>
      <c r="BH65" s="70" t="s">
        <v>736</v>
      </c>
      <c r="BI65" s="38" t="s">
        <v>595</v>
      </c>
      <c r="BK65" s="447">
        <v>1</v>
      </c>
    </row>
    <row r="66" spans="15:63" ht="24.95" customHeight="1">
      <c r="O66" s="39" t="s">
        <v>53</v>
      </c>
      <c r="Q66" s="375"/>
      <c r="S66" s="375"/>
      <c r="T66" s="376"/>
      <c r="V66" s="197" t="s">
        <v>554</v>
      </c>
      <c r="W66" s="196"/>
      <c r="X66" s="196"/>
      <c r="Y66" s="196"/>
      <c r="AU66" s="39" t="s">
        <v>194</v>
      </c>
      <c r="AV66" s="17" t="s">
        <v>21</v>
      </c>
      <c r="AW66" s="17">
        <v>30</v>
      </c>
      <c r="AX66" s="17" t="s">
        <v>22</v>
      </c>
      <c r="AY66" s="17" t="s">
        <v>322</v>
      </c>
      <c r="AZ66" s="174" t="s">
        <v>276</v>
      </c>
      <c r="BB66" s="4"/>
      <c r="BC66" s="4"/>
      <c r="BE66" s="72">
        <v>35</v>
      </c>
      <c r="BF66" s="203"/>
      <c r="BG66" s="159">
        <v>1.03</v>
      </c>
      <c r="BH66" s="70" t="s">
        <v>740</v>
      </c>
      <c r="BI66" s="38" t="s">
        <v>645</v>
      </c>
      <c r="BK66" s="447">
        <v>1</v>
      </c>
    </row>
    <row r="67" spans="15:63" ht="24.95" customHeight="1">
      <c r="O67" s="39" t="s">
        <v>58</v>
      </c>
      <c r="Q67" s="364" t="s">
        <v>690</v>
      </c>
      <c r="S67" s="364" t="s">
        <v>691</v>
      </c>
      <c r="T67" s="376" t="s">
        <v>692</v>
      </c>
      <c r="V67" s="198" t="s">
        <v>555</v>
      </c>
      <c r="W67" s="196"/>
      <c r="X67" s="196"/>
      <c r="Y67" s="196"/>
      <c r="AU67" s="39" t="s">
        <v>201</v>
      </c>
      <c r="AV67" s="17" t="s">
        <v>21</v>
      </c>
      <c r="AW67" s="17">
        <v>300</v>
      </c>
      <c r="AX67" s="17" t="s">
        <v>22</v>
      </c>
      <c r="AY67" s="17" t="s">
        <v>323</v>
      </c>
      <c r="AZ67" s="174" t="s">
        <v>276</v>
      </c>
      <c r="BB67" s="4"/>
      <c r="BC67" s="4"/>
      <c r="BE67" s="72">
        <v>20</v>
      </c>
      <c r="BF67" s="203"/>
      <c r="BG67" s="159">
        <v>1.03</v>
      </c>
      <c r="BH67" s="70" t="s">
        <v>741</v>
      </c>
      <c r="BI67" s="38" t="s">
        <v>742</v>
      </c>
      <c r="BK67" s="447">
        <v>1</v>
      </c>
    </row>
    <row r="68" spans="15:63" ht="24.95" customHeight="1">
      <c r="O68" s="39" t="s">
        <v>79</v>
      </c>
      <c r="Q68" s="375"/>
      <c r="S68" s="375"/>
      <c r="T68" s="376"/>
      <c r="V68" s="195" t="s">
        <v>557</v>
      </c>
      <c r="W68" s="196"/>
      <c r="X68" s="196"/>
      <c r="Y68" s="196"/>
      <c r="AU68" s="39" t="s">
        <v>205</v>
      </c>
      <c r="AV68" s="17" t="s">
        <v>21</v>
      </c>
      <c r="AW68" s="17">
        <v>200</v>
      </c>
      <c r="AX68" s="17" t="s">
        <v>22</v>
      </c>
      <c r="AY68" s="17" t="s">
        <v>324</v>
      </c>
      <c r="AZ68" s="174" t="s">
        <v>276</v>
      </c>
      <c r="BB68" s="4"/>
      <c r="BC68" s="4"/>
      <c r="BE68" s="72">
        <v>25</v>
      </c>
      <c r="BF68" s="203"/>
      <c r="BG68" s="159">
        <v>1.05</v>
      </c>
      <c r="BH68" s="70" t="s">
        <v>743</v>
      </c>
      <c r="BI68" s="38" t="s">
        <v>744</v>
      </c>
      <c r="BK68" s="447">
        <v>1</v>
      </c>
    </row>
    <row r="69" spans="15:63" ht="24.95" customHeight="1">
      <c r="O69" s="39" t="s">
        <v>109</v>
      </c>
      <c r="Q69" s="365" t="s">
        <v>696</v>
      </c>
      <c r="S69" s="365" t="s">
        <v>697</v>
      </c>
      <c r="T69" s="379" t="s">
        <v>698</v>
      </c>
      <c r="V69" s="195" t="s">
        <v>563</v>
      </c>
      <c r="W69" s="196"/>
      <c r="X69" s="196"/>
      <c r="Y69" s="196"/>
      <c r="AU69" s="39" t="s">
        <v>211</v>
      </c>
      <c r="AV69" s="17" t="s">
        <v>21</v>
      </c>
      <c r="AW69" s="17">
        <v>250</v>
      </c>
      <c r="AX69" s="17" t="s">
        <v>22</v>
      </c>
      <c r="AY69" s="17" t="s">
        <v>325</v>
      </c>
      <c r="AZ69" s="174" t="s">
        <v>276</v>
      </c>
      <c r="BB69" s="4"/>
      <c r="BC69" s="4"/>
      <c r="BE69" s="72">
        <v>20</v>
      </c>
      <c r="BF69" s="203"/>
      <c r="BG69" s="159">
        <v>1.04</v>
      </c>
      <c r="BH69" s="70" t="s">
        <v>748</v>
      </c>
      <c r="BI69" s="38" t="s">
        <v>595</v>
      </c>
      <c r="BK69" s="447">
        <v>1</v>
      </c>
    </row>
    <row r="70" spans="15:63" ht="24.95" customHeight="1">
      <c r="O70" s="39" t="s">
        <v>326</v>
      </c>
      <c r="Q70" s="375"/>
      <c r="S70" s="375"/>
      <c r="T70" s="376"/>
      <c r="V70" s="195" t="s">
        <v>567</v>
      </c>
      <c r="W70" s="196"/>
      <c r="X70" s="196"/>
      <c r="Y70" s="196"/>
      <c r="AU70" s="39" t="s">
        <v>216</v>
      </c>
      <c r="AV70" s="17" t="s">
        <v>21</v>
      </c>
      <c r="AW70" s="17">
        <v>300</v>
      </c>
      <c r="AX70" s="17" t="s">
        <v>22</v>
      </c>
      <c r="AY70" s="17" t="s">
        <v>327</v>
      </c>
      <c r="AZ70" s="174" t="s">
        <v>276</v>
      </c>
      <c r="BB70" s="4"/>
      <c r="BC70" s="4"/>
      <c r="BE70" s="72">
        <v>35</v>
      </c>
      <c r="BF70" s="203"/>
      <c r="BG70" s="159">
        <v>1.03</v>
      </c>
      <c r="BH70" s="70" t="s">
        <v>749</v>
      </c>
      <c r="BI70" s="38" t="s">
        <v>595</v>
      </c>
      <c r="BK70" s="447">
        <v>1</v>
      </c>
    </row>
    <row r="71" spans="15:63" ht="24.95" customHeight="1">
      <c r="O71" s="39" t="s">
        <v>120</v>
      </c>
      <c r="Q71" s="359" t="s">
        <v>702</v>
      </c>
      <c r="S71" s="359" t="s">
        <v>578</v>
      </c>
      <c r="T71" s="377" t="s">
        <v>579</v>
      </c>
      <c r="V71" s="195" t="s">
        <v>571</v>
      </c>
      <c r="W71" s="196"/>
      <c r="X71" s="196"/>
      <c r="Y71" s="196"/>
      <c r="AU71" s="39" t="s">
        <v>83</v>
      </c>
      <c r="AV71" s="17" t="s">
        <v>21</v>
      </c>
      <c r="AW71" s="17">
        <v>240</v>
      </c>
      <c r="AX71" s="17" t="s">
        <v>22</v>
      </c>
      <c r="AY71" s="17" t="s">
        <v>328</v>
      </c>
      <c r="AZ71" s="174" t="s">
        <v>276</v>
      </c>
      <c r="BB71" s="4"/>
      <c r="BC71" s="4"/>
      <c r="BE71" s="72">
        <v>35</v>
      </c>
      <c r="BF71" s="203"/>
      <c r="BG71" s="159">
        <v>1.03</v>
      </c>
      <c r="BH71" s="70" t="s">
        <v>750</v>
      </c>
      <c r="BI71" s="38" t="s">
        <v>751</v>
      </c>
      <c r="BK71" s="447">
        <v>1</v>
      </c>
    </row>
    <row r="72" spans="15:63" ht="24.95" customHeight="1">
      <c r="O72" s="39" t="s">
        <v>130</v>
      </c>
      <c r="Q72" s="375"/>
      <c r="S72" s="375"/>
      <c r="T72" s="376"/>
      <c r="V72" s="197" t="s">
        <v>574</v>
      </c>
      <c r="W72" s="196"/>
      <c r="X72" s="196"/>
      <c r="Y72" s="196"/>
      <c r="AU72" s="39" t="s">
        <v>227</v>
      </c>
      <c r="AV72" s="17" t="s">
        <v>21</v>
      </c>
      <c r="AW72" s="17">
        <v>60</v>
      </c>
      <c r="AX72" s="17" t="s">
        <v>22</v>
      </c>
      <c r="AY72" s="17" t="s">
        <v>329</v>
      </c>
      <c r="AZ72" s="174" t="s">
        <v>276</v>
      </c>
      <c r="BB72" s="4"/>
      <c r="BC72" s="4"/>
      <c r="BE72" s="72">
        <v>18</v>
      </c>
      <c r="BF72" s="203"/>
      <c r="BG72" s="159">
        <v>1.03</v>
      </c>
      <c r="BH72" s="70" t="s">
        <v>754</v>
      </c>
      <c r="BI72" s="38" t="s">
        <v>645</v>
      </c>
      <c r="BK72" s="447">
        <v>1</v>
      </c>
    </row>
    <row r="73" spans="15:63" ht="24.95" customHeight="1">
      <c r="O73" s="39" t="s">
        <v>140</v>
      </c>
      <c r="Q73" s="366" t="s">
        <v>708</v>
      </c>
      <c r="S73" s="366" t="s">
        <v>709</v>
      </c>
      <c r="T73" s="376" t="s">
        <v>710</v>
      </c>
      <c r="V73" s="195" t="s">
        <v>580</v>
      </c>
      <c r="W73" s="196"/>
      <c r="X73" s="196"/>
      <c r="Y73" s="196"/>
      <c r="AU73" s="39" t="s">
        <v>238</v>
      </c>
      <c r="AV73" s="17" t="s">
        <v>21</v>
      </c>
      <c r="AW73" s="17">
        <v>200</v>
      </c>
      <c r="AX73" s="17" t="s">
        <v>22</v>
      </c>
      <c r="AY73" s="17" t="s">
        <v>330</v>
      </c>
      <c r="AZ73" s="174" t="s">
        <v>276</v>
      </c>
      <c r="BB73" s="4"/>
      <c r="BC73" s="4"/>
      <c r="BE73" s="72">
        <v>35</v>
      </c>
      <c r="BF73" s="203"/>
      <c r="BG73" s="159">
        <v>1.03</v>
      </c>
      <c r="BH73" s="70" t="s">
        <v>755</v>
      </c>
      <c r="BI73" s="38" t="s">
        <v>645</v>
      </c>
      <c r="BK73" s="447">
        <v>1</v>
      </c>
    </row>
    <row r="74" spans="15:63" ht="24.95" customHeight="1">
      <c r="O74" s="39" t="s">
        <v>331</v>
      </c>
      <c r="Q74" s="375"/>
      <c r="S74" s="375"/>
      <c r="T74" s="376"/>
      <c r="V74" s="197" t="s">
        <v>585</v>
      </c>
      <c r="W74" s="196"/>
      <c r="X74" s="196"/>
      <c r="Y74" s="196"/>
      <c r="AU74" s="39" t="s">
        <v>93</v>
      </c>
      <c r="AV74" s="17" t="s">
        <v>21</v>
      </c>
      <c r="AW74" s="17">
        <v>360</v>
      </c>
      <c r="AX74" s="17" t="s">
        <v>22</v>
      </c>
      <c r="AY74" s="17" t="s">
        <v>332</v>
      </c>
      <c r="AZ74" s="174" t="s">
        <v>276</v>
      </c>
      <c r="BB74" s="4"/>
      <c r="BC74" s="4"/>
      <c r="BE74" s="72">
        <v>38</v>
      </c>
      <c r="BF74" s="203"/>
      <c r="BG74" s="159">
        <v>1.04</v>
      </c>
      <c r="BH74" s="70" t="s">
        <v>756</v>
      </c>
      <c r="BI74" s="38" t="s">
        <v>576</v>
      </c>
      <c r="BK74" s="447">
        <v>1</v>
      </c>
    </row>
    <row r="75" spans="15:63" ht="24.95" customHeight="1">
      <c r="O75" s="39" t="s">
        <v>333</v>
      </c>
      <c r="Q75" s="367" t="s">
        <v>714</v>
      </c>
      <c r="S75" s="367" t="s">
        <v>715</v>
      </c>
      <c r="T75" s="376" t="s">
        <v>716</v>
      </c>
      <c r="V75" s="196"/>
      <c r="W75" s="196"/>
      <c r="X75" s="196"/>
      <c r="Y75" s="196"/>
      <c r="AU75" s="39" t="s">
        <v>251</v>
      </c>
      <c r="AV75" s="17" t="s">
        <v>21</v>
      </c>
      <c r="AW75" s="17">
        <v>5</v>
      </c>
      <c r="AX75" s="17" t="s">
        <v>22</v>
      </c>
      <c r="AY75" s="17" t="s">
        <v>251</v>
      </c>
      <c r="AZ75" s="153" t="s">
        <v>108</v>
      </c>
      <c r="BB75" s="4"/>
      <c r="BC75" s="4"/>
      <c r="BE75" s="72">
        <v>32</v>
      </c>
      <c r="BF75" s="203"/>
      <c r="BG75" s="159">
        <v>1.02</v>
      </c>
      <c r="BH75" s="70" t="s">
        <v>760</v>
      </c>
      <c r="BI75" s="38" t="s">
        <v>576</v>
      </c>
      <c r="BK75" s="447">
        <v>1</v>
      </c>
    </row>
    <row r="76" spans="15:63" ht="24.95" customHeight="1">
      <c r="O76" s="39" t="s">
        <v>334</v>
      </c>
      <c r="Q76" s="375"/>
      <c r="S76" s="375"/>
      <c r="T76" s="376"/>
      <c r="V76" s="736" t="s">
        <v>593</v>
      </c>
      <c r="W76" s="737"/>
      <c r="X76" s="737"/>
      <c r="Y76" s="738"/>
      <c r="AU76" s="39" t="s">
        <v>302</v>
      </c>
      <c r="AV76" s="17" t="s">
        <v>21</v>
      </c>
      <c r="AW76" s="17">
        <v>1</v>
      </c>
      <c r="AX76" s="17" t="s">
        <v>22</v>
      </c>
      <c r="AY76" s="17" t="s">
        <v>335</v>
      </c>
      <c r="AZ76" s="153" t="s">
        <v>108</v>
      </c>
      <c r="BB76" s="4"/>
      <c r="BC76" s="4"/>
      <c r="BE76" s="72">
        <v>32</v>
      </c>
      <c r="BF76" s="203"/>
      <c r="BG76" s="159">
        <v>1.05</v>
      </c>
      <c r="BH76" s="70" t="s">
        <v>761</v>
      </c>
      <c r="BI76" s="38" t="s">
        <v>576</v>
      </c>
      <c r="BK76" s="447">
        <v>1</v>
      </c>
    </row>
    <row r="77" spans="15:63" ht="24.95" customHeight="1">
      <c r="O77" s="39" t="s">
        <v>336</v>
      </c>
      <c r="Q77" s="368" t="s">
        <v>719</v>
      </c>
      <c r="S77" s="368" t="s">
        <v>720</v>
      </c>
      <c r="T77" s="376" t="s">
        <v>721</v>
      </c>
      <c r="V77" s="195" t="s">
        <v>596</v>
      </c>
      <c r="W77" s="196"/>
      <c r="X77" s="196"/>
      <c r="Y77" s="196"/>
      <c r="AU77" s="39" t="s">
        <v>310</v>
      </c>
      <c r="AV77" s="17" t="s">
        <v>21</v>
      </c>
      <c r="AW77" s="17">
        <v>60</v>
      </c>
      <c r="AX77" s="17" t="s">
        <v>22</v>
      </c>
      <c r="AY77" s="17" t="s">
        <v>337</v>
      </c>
      <c r="AZ77" s="153" t="s">
        <v>108</v>
      </c>
      <c r="BB77" s="4"/>
      <c r="BC77" s="4"/>
      <c r="BE77" s="72">
        <v>32</v>
      </c>
      <c r="BF77" s="203"/>
      <c r="BG77" s="159">
        <v>1.04</v>
      </c>
      <c r="BH77" s="70" t="s">
        <v>762</v>
      </c>
      <c r="BI77" s="38" t="s">
        <v>576</v>
      </c>
      <c r="BK77" s="447">
        <v>1</v>
      </c>
    </row>
    <row r="78" spans="15:63" ht="24.95" customHeight="1">
      <c r="O78" s="39" t="s">
        <v>338</v>
      </c>
      <c r="Q78" s="375"/>
      <c r="S78" s="375"/>
      <c r="T78" s="376"/>
      <c r="V78" s="197" t="s">
        <v>598</v>
      </c>
      <c r="W78" s="196"/>
      <c r="X78" s="196"/>
      <c r="Y78" s="196"/>
      <c r="AU78" s="39" t="s">
        <v>331</v>
      </c>
      <c r="AV78" s="17" t="s">
        <v>21</v>
      </c>
      <c r="AW78" s="17">
        <v>2</v>
      </c>
      <c r="AX78" s="17" t="s">
        <v>22</v>
      </c>
      <c r="AY78" s="17" t="s">
        <v>331</v>
      </c>
      <c r="AZ78" s="153" t="s">
        <v>108</v>
      </c>
      <c r="BB78" s="4"/>
      <c r="BC78" s="4"/>
      <c r="BE78" s="72">
        <v>30</v>
      </c>
      <c r="BF78" s="203"/>
      <c r="BG78" s="159">
        <v>1.03</v>
      </c>
      <c r="BH78" s="70" t="s">
        <v>766</v>
      </c>
      <c r="BI78" s="38" t="s">
        <v>767</v>
      </c>
      <c r="BK78" s="447">
        <v>1</v>
      </c>
    </row>
    <row r="79" spans="15:63" ht="24.95" customHeight="1">
      <c r="O79" s="39" t="s">
        <v>339</v>
      </c>
      <c r="Q79" s="369" t="s">
        <v>725</v>
      </c>
      <c r="S79" s="369" t="s">
        <v>726</v>
      </c>
      <c r="T79" s="376" t="s">
        <v>727</v>
      </c>
      <c r="V79" s="195" t="s">
        <v>600</v>
      </c>
      <c r="W79" s="196"/>
      <c r="X79" s="196"/>
      <c r="Y79" s="196"/>
      <c r="AU79" s="39" t="s">
        <v>333</v>
      </c>
      <c r="AV79" s="17" t="s">
        <v>21</v>
      </c>
      <c r="AW79" s="17">
        <v>44</v>
      </c>
      <c r="AX79" s="17" t="s">
        <v>22</v>
      </c>
      <c r="AY79" s="17" t="s">
        <v>333</v>
      </c>
      <c r="AZ79" s="153" t="s">
        <v>108</v>
      </c>
      <c r="BB79" s="4"/>
      <c r="BC79" s="4"/>
      <c r="BE79" s="72">
        <v>16</v>
      </c>
      <c r="BF79" s="203"/>
      <c r="BG79" s="159">
        <v>1.03</v>
      </c>
      <c r="BH79" s="70" t="s">
        <v>154</v>
      </c>
      <c r="BI79" s="38" t="s">
        <v>576</v>
      </c>
      <c r="BK79" s="447">
        <v>1</v>
      </c>
    </row>
    <row r="80" spans="15:63" ht="24.95" customHeight="1">
      <c r="O80" s="39" t="s">
        <v>340</v>
      </c>
      <c r="Q80" s="375"/>
      <c r="S80" s="375"/>
      <c r="T80" s="376"/>
      <c r="V80" s="197" t="s">
        <v>603</v>
      </c>
      <c r="W80" s="196"/>
      <c r="X80" s="196"/>
      <c r="Y80" s="196"/>
      <c r="AU80" s="39" t="s">
        <v>334</v>
      </c>
      <c r="AV80" s="17" t="s">
        <v>21</v>
      </c>
      <c r="AW80" s="17">
        <v>44</v>
      </c>
      <c r="AX80" s="17" t="s">
        <v>22</v>
      </c>
      <c r="AY80" s="17" t="s">
        <v>334</v>
      </c>
      <c r="AZ80" s="153" t="s">
        <v>108</v>
      </c>
      <c r="BB80" s="4"/>
      <c r="BC80" s="4"/>
      <c r="BE80" s="72">
        <v>25</v>
      </c>
      <c r="BF80" s="203"/>
      <c r="BG80" s="159">
        <v>1.04</v>
      </c>
      <c r="BH80" s="70" t="s">
        <v>768</v>
      </c>
      <c r="BI80" s="38" t="s">
        <v>595</v>
      </c>
      <c r="BK80" s="447">
        <v>1</v>
      </c>
    </row>
    <row r="81" spans="15:63" ht="24.95" customHeight="1">
      <c r="O81" s="39" t="s">
        <v>175</v>
      </c>
      <c r="Q81" s="370" t="s">
        <v>731</v>
      </c>
      <c r="S81" s="370" t="s">
        <v>268</v>
      </c>
      <c r="T81" s="376" t="s">
        <v>732</v>
      </c>
      <c r="V81" s="198" t="s">
        <v>606</v>
      </c>
      <c r="W81" s="196"/>
      <c r="X81" s="196"/>
      <c r="Y81" s="196"/>
      <c r="AU81" s="39" t="s">
        <v>340</v>
      </c>
      <c r="AV81" s="17" t="s">
        <v>21</v>
      </c>
      <c r="AW81" s="17">
        <v>50</v>
      </c>
      <c r="AX81" s="17" t="s">
        <v>22</v>
      </c>
      <c r="AY81" s="17" t="s">
        <v>340</v>
      </c>
      <c r="AZ81" s="153" t="s">
        <v>108</v>
      </c>
      <c r="BB81" s="4"/>
      <c r="BC81" s="4"/>
      <c r="BE81" s="72">
        <v>38</v>
      </c>
      <c r="BF81" s="203"/>
      <c r="BG81" s="159">
        <v>0.96</v>
      </c>
      <c r="BH81" s="70" t="s">
        <v>772</v>
      </c>
      <c r="BI81" s="38" t="s">
        <v>570</v>
      </c>
      <c r="BK81" s="447">
        <v>1</v>
      </c>
    </row>
    <row r="82" spans="15:63" ht="24.95" customHeight="1">
      <c r="O82" s="39" t="s">
        <v>341</v>
      </c>
      <c r="Q82" s="358"/>
      <c r="S82" s="375"/>
      <c r="T82" s="376"/>
      <c r="V82" s="195" t="s">
        <v>612</v>
      </c>
      <c r="W82" s="196"/>
      <c r="X82" s="196"/>
      <c r="Y82" s="196"/>
      <c r="AU82" s="39" t="s">
        <v>342</v>
      </c>
      <c r="AV82" s="17" t="s">
        <v>21</v>
      </c>
      <c r="AW82" s="17">
        <v>30</v>
      </c>
      <c r="AX82" s="17" t="s">
        <v>22</v>
      </c>
      <c r="AY82" s="17" t="s">
        <v>343</v>
      </c>
      <c r="AZ82" s="153" t="s">
        <v>108</v>
      </c>
      <c r="BB82" s="4"/>
      <c r="BC82" s="4"/>
      <c r="BE82" s="72">
        <v>18</v>
      </c>
      <c r="BF82" s="203"/>
      <c r="BG82" s="159">
        <v>1.02</v>
      </c>
      <c r="BH82" s="70" t="s">
        <v>773</v>
      </c>
      <c r="BI82" s="38" t="s">
        <v>774</v>
      </c>
      <c r="BK82" s="447">
        <v>1</v>
      </c>
    </row>
    <row r="83" spans="15:63" ht="24.95" customHeight="1">
      <c r="O83" s="39" t="s">
        <v>344</v>
      </c>
      <c r="Q83" s="371" t="s">
        <v>737</v>
      </c>
      <c r="S83" s="371" t="s">
        <v>738</v>
      </c>
      <c r="T83" s="376" t="s">
        <v>739</v>
      </c>
      <c r="V83" s="195" t="s">
        <v>615</v>
      </c>
      <c r="W83" s="196"/>
      <c r="X83" s="196"/>
      <c r="Y83" s="196"/>
      <c r="AU83" s="39" t="s">
        <v>345</v>
      </c>
      <c r="AV83" s="17" t="s">
        <v>21</v>
      </c>
      <c r="AW83" s="17">
        <v>568</v>
      </c>
      <c r="AX83" s="17" t="s">
        <v>22</v>
      </c>
      <c r="AY83" s="17" t="s">
        <v>346</v>
      </c>
      <c r="AZ83" s="153" t="s">
        <v>108</v>
      </c>
      <c r="BB83" s="4"/>
      <c r="BC83" s="4"/>
      <c r="BE83" s="72">
        <v>25</v>
      </c>
      <c r="BF83" s="203"/>
      <c r="BG83" s="159">
        <v>1.03</v>
      </c>
      <c r="BH83" s="70" t="s">
        <v>775</v>
      </c>
      <c r="BI83" s="38" t="s">
        <v>645</v>
      </c>
      <c r="BK83" s="447">
        <v>1</v>
      </c>
    </row>
    <row r="84" spans="15:63" ht="24.95" customHeight="1">
      <c r="O84" s="39" t="s">
        <v>179</v>
      </c>
      <c r="Q84" s="375"/>
      <c r="S84" s="375"/>
      <c r="T84" s="376"/>
      <c r="V84" s="195" t="s">
        <v>618</v>
      </c>
      <c r="W84" s="196"/>
      <c r="X84" s="196"/>
      <c r="Y84" s="196"/>
      <c r="AU84" s="39" t="s">
        <v>347</v>
      </c>
      <c r="AV84" s="17" t="s">
        <v>21</v>
      </c>
      <c r="AW84" s="17">
        <v>473</v>
      </c>
      <c r="AX84" s="17" t="s">
        <v>22</v>
      </c>
      <c r="AY84" s="17" t="s">
        <v>348</v>
      </c>
      <c r="AZ84" s="153" t="s">
        <v>108</v>
      </c>
      <c r="BB84" s="4"/>
      <c r="BC84" s="4"/>
      <c r="BE84" s="72">
        <v>30</v>
      </c>
      <c r="BF84" s="203"/>
      <c r="BG84" s="159">
        <v>1.03</v>
      </c>
      <c r="BH84" s="70" t="s">
        <v>779</v>
      </c>
      <c r="BI84" s="38" t="s">
        <v>605</v>
      </c>
      <c r="BK84" s="447">
        <v>1</v>
      </c>
    </row>
    <row r="85" spans="15:63" ht="24.95" customHeight="1">
      <c r="O85" s="39" t="s">
        <v>349</v>
      </c>
      <c r="Q85" s="364" t="s">
        <v>745</v>
      </c>
      <c r="S85" s="364" t="s">
        <v>746</v>
      </c>
      <c r="T85" s="376" t="s">
        <v>747</v>
      </c>
      <c r="V85" s="195" t="s">
        <v>624</v>
      </c>
      <c r="W85" s="196"/>
      <c r="X85" s="196"/>
      <c r="Y85" s="196"/>
      <c r="AU85" s="39" t="s">
        <v>350</v>
      </c>
      <c r="AV85" s="17" t="s">
        <v>21</v>
      </c>
      <c r="AW85" s="17">
        <v>30</v>
      </c>
      <c r="AX85" s="17" t="s">
        <v>22</v>
      </c>
      <c r="AY85" s="17" t="s">
        <v>351</v>
      </c>
      <c r="AZ85" s="153" t="s">
        <v>108</v>
      </c>
      <c r="BB85" s="4"/>
      <c r="BC85" s="4"/>
      <c r="BE85" s="72">
        <v>30</v>
      </c>
      <c r="BF85" s="203"/>
      <c r="BG85" s="159">
        <v>1.03</v>
      </c>
      <c r="BH85" s="70" t="s">
        <v>780</v>
      </c>
      <c r="BI85" s="38" t="s">
        <v>570</v>
      </c>
      <c r="BK85" s="447">
        <v>1</v>
      </c>
    </row>
    <row r="86" spans="15:63" ht="24.95" customHeight="1">
      <c r="O86" s="39" t="s">
        <v>342</v>
      </c>
      <c r="Q86" s="375"/>
      <c r="S86" s="375"/>
      <c r="T86" s="376"/>
      <c r="V86" s="197" t="s">
        <v>626</v>
      </c>
      <c r="W86" s="196"/>
      <c r="X86" s="196"/>
      <c r="Y86" s="196"/>
      <c r="AU86" s="39" t="s">
        <v>352</v>
      </c>
      <c r="AV86" s="17" t="s">
        <v>21</v>
      </c>
      <c r="AW86" s="17">
        <v>44</v>
      </c>
      <c r="AX86" s="17" t="s">
        <v>22</v>
      </c>
      <c r="AY86" s="17" t="s">
        <v>352</v>
      </c>
      <c r="AZ86" s="153" t="s">
        <v>108</v>
      </c>
      <c r="BB86" s="4"/>
      <c r="BC86" s="4"/>
      <c r="BE86" s="72">
        <v>40</v>
      </c>
      <c r="BF86" s="203"/>
      <c r="BG86" s="159">
        <v>0.96</v>
      </c>
      <c r="BH86" s="70" t="s">
        <v>781</v>
      </c>
      <c r="BI86" s="38" t="s">
        <v>782</v>
      </c>
      <c r="BK86" s="447">
        <v>1</v>
      </c>
    </row>
    <row r="87" spans="15:63" ht="24.95" customHeight="1">
      <c r="O87" s="39" t="s">
        <v>265</v>
      </c>
      <c r="Q87" s="372" t="s">
        <v>752</v>
      </c>
      <c r="S87" s="372" t="s">
        <v>29</v>
      </c>
      <c r="T87" s="376" t="s">
        <v>753</v>
      </c>
      <c r="V87" s="195" t="s">
        <v>629</v>
      </c>
      <c r="W87" s="196"/>
      <c r="X87" s="196"/>
      <c r="Y87" s="196"/>
      <c r="AU87" s="39" t="s">
        <v>353</v>
      </c>
      <c r="AV87" s="17" t="s">
        <v>21</v>
      </c>
      <c r="AW87" s="17">
        <v>4</v>
      </c>
      <c r="AX87" s="17" t="s">
        <v>22</v>
      </c>
      <c r="AY87" s="17" t="s">
        <v>354</v>
      </c>
      <c r="AZ87" s="153" t="s">
        <v>108</v>
      </c>
      <c r="BB87" s="4"/>
      <c r="BC87" s="4"/>
      <c r="BE87" s="72">
        <v>25</v>
      </c>
      <c r="BF87" s="203"/>
      <c r="BG87" s="159">
        <v>1.01</v>
      </c>
      <c r="BH87" s="70" t="s">
        <v>265</v>
      </c>
      <c r="BI87" s="38" t="s">
        <v>620</v>
      </c>
      <c r="BK87" s="447">
        <v>1</v>
      </c>
    </row>
    <row r="88" spans="15:63" ht="24.95" customHeight="1">
      <c r="O88" s="39" t="s">
        <v>183</v>
      </c>
      <c r="Q88" s="375"/>
      <c r="S88" s="375"/>
      <c r="T88" s="376"/>
      <c r="V88" s="197" t="s">
        <v>634</v>
      </c>
      <c r="W88" s="196"/>
      <c r="X88" s="196"/>
      <c r="Y88" s="196"/>
      <c r="AU88" s="39" t="s">
        <v>125</v>
      </c>
      <c r="AV88" s="17" t="s">
        <v>21</v>
      </c>
      <c r="AW88" s="17">
        <v>1.5</v>
      </c>
      <c r="AX88" s="17" t="s">
        <v>22</v>
      </c>
      <c r="AY88" s="17" t="s">
        <v>129</v>
      </c>
      <c r="AZ88" s="153" t="s">
        <v>108</v>
      </c>
      <c r="BB88" s="4"/>
      <c r="BC88" s="4"/>
      <c r="BE88" s="72">
        <v>17</v>
      </c>
      <c r="BF88" s="203"/>
      <c r="BG88" s="159">
        <v>1.03</v>
      </c>
      <c r="BH88" s="70" t="s">
        <v>784</v>
      </c>
      <c r="BI88" s="38" t="s">
        <v>576</v>
      </c>
      <c r="BK88" s="447">
        <v>1</v>
      </c>
    </row>
    <row r="89" spans="15:63" ht="24.95" customHeight="1">
      <c r="O89" s="39" t="s">
        <v>187</v>
      </c>
      <c r="Q89" s="373" t="s">
        <v>757</v>
      </c>
      <c r="S89" s="373" t="s">
        <v>758</v>
      </c>
      <c r="T89" s="376" t="s">
        <v>759</v>
      </c>
      <c r="V89" s="196"/>
      <c r="W89" s="196"/>
      <c r="X89" s="196"/>
      <c r="Y89" s="196"/>
      <c r="AU89" s="39" t="s">
        <v>355</v>
      </c>
      <c r="AV89" s="17" t="s">
        <v>21</v>
      </c>
      <c r="AW89" s="17">
        <v>237</v>
      </c>
      <c r="AX89" s="17" t="s">
        <v>22</v>
      </c>
      <c r="AY89" s="17" t="s">
        <v>356</v>
      </c>
      <c r="AZ89" s="153" t="s">
        <v>108</v>
      </c>
      <c r="BB89" s="4"/>
      <c r="BC89" s="4"/>
      <c r="BE89" s="72">
        <v>25</v>
      </c>
      <c r="BF89" s="203"/>
      <c r="BG89" s="159">
        <v>1.04</v>
      </c>
      <c r="BH89" s="70" t="s">
        <v>785</v>
      </c>
      <c r="BI89" s="38" t="s">
        <v>605</v>
      </c>
      <c r="BK89" s="447">
        <v>1</v>
      </c>
    </row>
    <row r="90" spans="15:63" ht="24.95" customHeight="1">
      <c r="O90" s="39" t="s">
        <v>345</v>
      </c>
      <c r="Q90" s="375"/>
      <c r="S90" s="375"/>
      <c r="T90" s="376"/>
      <c r="V90" s="736" t="s">
        <v>638</v>
      </c>
      <c r="W90" s="737"/>
      <c r="X90" s="737"/>
      <c r="Y90" s="738"/>
      <c r="AU90" s="39" t="s">
        <v>305</v>
      </c>
      <c r="AV90" s="17" t="s">
        <v>21</v>
      </c>
      <c r="AW90" s="17">
        <v>45</v>
      </c>
      <c r="AX90" s="17" t="s">
        <v>22</v>
      </c>
      <c r="AY90" s="17" t="s">
        <v>357</v>
      </c>
      <c r="AZ90" s="180" t="s">
        <v>358</v>
      </c>
      <c r="BB90" s="4"/>
      <c r="BC90" s="4"/>
      <c r="BE90" s="72">
        <v>21</v>
      </c>
      <c r="BF90" s="203"/>
      <c r="BG90" s="159">
        <v>1.04</v>
      </c>
      <c r="BH90" s="70" t="s">
        <v>789</v>
      </c>
      <c r="BI90" s="38" t="s">
        <v>666</v>
      </c>
      <c r="BK90" s="447">
        <v>1</v>
      </c>
    </row>
    <row r="91" spans="15:63" ht="24.95" customHeight="1">
      <c r="O91" s="39" t="s">
        <v>347</v>
      </c>
      <c r="Q91" s="366" t="s">
        <v>763</v>
      </c>
      <c r="S91" s="366" t="s">
        <v>764</v>
      </c>
      <c r="T91" s="376" t="s">
        <v>765</v>
      </c>
      <c r="V91" s="195" t="s">
        <v>643</v>
      </c>
      <c r="W91" s="196"/>
      <c r="X91" s="196"/>
      <c r="Y91" s="196"/>
      <c r="AU91" s="39" t="s">
        <v>307</v>
      </c>
      <c r="AV91" s="17" t="s">
        <v>21</v>
      </c>
      <c r="AW91" s="17">
        <v>45</v>
      </c>
      <c r="AX91" s="17" t="s">
        <v>22</v>
      </c>
      <c r="AY91" s="17" t="s">
        <v>359</v>
      </c>
      <c r="AZ91" s="180" t="s">
        <v>358</v>
      </c>
      <c r="BB91" s="4"/>
      <c r="BC91" s="4"/>
      <c r="BE91" s="72">
        <v>19</v>
      </c>
      <c r="BF91" s="203"/>
      <c r="BG91" s="159">
        <v>1.03</v>
      </c>
      <c r="BH91" s="70" t="s">
        <v>790</v>
      </c>
      <c r="BI91" s="38" t="s">
        <v>791</v>
      </c>
      <c r="BK91" s="447">
        <v>1</v>
      </c>
    </row>
    <row r="92" spans="15:63" ht="24.95" customHeight="1">
      <c r="O92" s="39" t="s">
        <v>191</v>
      </c>
      <c r="Q92" s="375"/>
      <c r="S92" s="375"/>
      <c r="T92" s="376"/>
      <c r="V92" s="197" t="s">
        <v>646</v>
      </c>
      <c r="W92" s="196"/>
      <c r="X92" s="196"/>
      <c r="Y92" s="196"/>
      <c r="AU92" s="39" t="s">
        <v>326</v>
      </c>
      <c r="AV92" s="17" t="s">
        <v>21</v>
      </c>
      <c r="AW92" s="17">
        <v>250</v>
      </c>
      <c r="AX92" s="17" t="s">
        <v>22</v>
      </c>
      <c r="AY92" s="17" t="s">
        <v>360</v>
      </c>
      <c r="AZ92" s="180" t="s">
        <v>358</v>
      </c>
      <c r="BB92" s="4"/>
      <c r="BC92" s="4"/>
      <c r="BE92" s="72">
        <v>24</v>
      </c>
      <c r="BF92" s="203"/>
      <c r="BG92" s="159">
        <v>1.02</v>
      </c>
      <c r="BH92" s="70" t="s">
        <v>792</v>
      </c>
      <c r="BI92" s="38" t="s">
        <v>583</v>
      </c>
      <c r="BK92" s="447">
        <v>1</v>
      </c>
    </row>
    <row r="93" spans="15:63" ht="24.95" customHeight="1">
      <c r="O93" s="39" t="s">
        <v>194</v>
      </c>
      <c r="Q93" s="357" t="s">
        <v>769</v>
      </c>
      <c r="S93" s="357" t="s">
        <v>770</v>
      </c>
      <c r="T93" s="376" t="s">
        <v>771</v>
      </c>
      <c r="V93" s="195" t="s">
        <v>648</v>
      </c>
      <c r="W93" s="196"/>
      <c r="X93" s="196"/>
      <c r="Y93" s="196"/>
      <c r="AU93" s="39" t="s">
        <v>344</v>
      </c>
      <c r="AV93" s="17" t="s">
        <v>21</v>
      </c>
      <c r="AW93" s="17">
        <v>30</v>
      </c>
      <c r="AX93" s="17" t="s">
        <v>22</v>
      </c>
      <c r="AY93" s="17" t="s">
        <v>361</v>
      </c>
      <c r="AZ93" s="180" t="s">
        <v>358</v>
      </c>
      <c r="BB93" s="4"/>
      <c r="BC93" s="4"/>
      <c r="BE93" s="72">
        <v>30</v>
      </c>
      <c r="BF93" s="203"/>
      <c r="BG93" s="159">
        <v>1.03</v>
      </c>
      <c r="BH93" s="70" t="s">
        <v>796</v>
      </c>
      <c r="BI93" s="38" t="s">
        <v>774</v>
      </c>
      <c r="BK93" s="447">
        <v>1</v>
      </c>
    </row>
    <row r="94" spans="15:63" ht="24.95" customHeight="1">
      <c r="O94" s="39" t="s">
        <v>350</v>
      </c>
      <c r="Q94" s="375"/>
      <c r="S94" s="375"/>
      <c r="T94" s="376"/>
      <c r="V94" s="197" t="s">
        <v>654</v>
      </c>
      <c r="W94" s="196"/>
      <c r="X94" s="196"/>
      <c r="Y94" s="196"/>
      <c r="AU94" s="39" t="s">
        <v>362</v>
      </c>
      <c r="AV94" s="17" t="s">
        <v>21</v>
      </c>
      <c r="AW94" s="17">
        <v>150</v>
      </c>
      <c r="AX94" s="17" t="s">
        <v>22</v>
      </c>
      <c r="AY94" s="17" t="s">
        <v>362</v>
      </c>
      <c r="AZ94" s="180" t="s">
        <v>358</v>
      </c>
      <c r="BB94" s="4"/>
      <c r="BC94" s="4"/>
      <c r="BE94" s="72">
        <v>25</v>
      </c>
      <c r="BF94" s="203"/>
      <c r="BG94" s="159">
        <v>1.03</v>
      </c>
      <c r="BH94" s="70" t="s">
        <v>797</v>
      </c>
      <c r="BI94" s="38" t="s">
        <v>798</v>
      </c>
      <c r="BK94" s="447">
        <v>1</v>
      </c>
    </row>
    <row r="95" spans="15:63" ht="24.95" customHeight="1">
      <c r="O95" s="39" t="s">
        <v>363</v>
      </c>
      <c r="Q95" s="357" t="s">
        <v>776</v>
      </c>
      <c r="S95" s="357" t="s">
        <v>777</v>
      </c>
      <c r="T95" s="376" t="s">
        <v>778</v>
      </c>
      <c r="V95" s="198" t="s">
        <v>656</v>
      </c>
      <c r="W95" s="196"/>
      <c r="X95" s="196"/>
      <c r="Y95" s="196"/>
      <c r="AU95" s="39" t="s">
        <v>364</v>
      </c>
      <c r="AV95" s="17" t="s">
        <v>21</v>
      </c>
      <c r="AW95" s="17">
        <v>40</v>
      </c>
      <c r="AX95" s="17" t="s">
        <v>22</v>
      </c>
      <c r="AY95" s="17" t="s">
        <v>365</v>
      </c>
      <c r="AZ95" s="180" t="s">
        <v>358</v>
      </c>
      <c r="BB95" s="4"/>
      <c r="BC95" s="4"/>
      <c r="BE95" s="72">
        <v>18</v>
      </c>
      <c r="BF95" s="203"/>
      <c r="BG95" s="159">
        <v>1.03</v>
      </c>
      <c r="BH95" s="70" t="s">
        <v>799</v>
      </c>
      <c r="BI95" s="38" t="s">
        <v>704</v>
      </c>
      <c r="BK95" s="447">
        <v>1</v>
      </c>
    </row>
    <row r="96" spans="15:63" ht="24.95" customHeight="1">
      <c r="O96" s="39" t="s">
        <v>366</v>
      </c>
      <c r="Q96" s="358"/>
      <c r="S96" s="375"/>
      <c r="T96" s="376"/>
      <c r="V96" s="195" t="s">
        <v>658</v>
      </c>
      <c r="W96" s="196"/>
      <c r="X96" s="196"/>
      <c r="Y96" s="196"/>
      <c r="AU96" s="39" t="s">
        <v>367</v>
      </c>
      <c r="AV96" s="17" t="s">
        <v>21</v>
      </c>
      <c r="AW96" s="17">
        <v>150</v>
      </c>
      <c r="AX96" s="17" t="s">
        <v>22</v>
      </c>
      <c r="AY96" s="17" t="s">
        <v>368</v>
      </c>
      <c r="AZ96" s="180" t="s">
        <v>358</v>
      </c>
      <c r="BB96" s="4"/>
      <c r="BC96" s="4"/>
      <c r="BE96" s="72">
        <v>25</v>
      </c>
      <c r="BF96" s="203"/>
      <c r="BG96" s="159">
        <v>1.03</v>
      </c>
      <c r="BH96" s="70" t="s">
        <v>803</v>
      </c>
      <c r="BI96" s="38" t="s">
        <v>595</v>
      </c>
      <c r="BK96" s="447">
        <v>1</v>
      </c>
    </row>
    <row r="97" spans="15:63" ht="24.95" customHeight="1">
      <c r="O97" s="39" t="s">
        <v>369</v>
      </c>
      <c r="Q97" s="745" t="s">
        <v>783</v>
      </c>
      <c r="S97" s="745" t="s">
        <v>578</v>
      </c>
      <c r="T97" s="739" t="s">
        <v>579</v>
      </c>
      <c r="V97" s="195" t="s">
        <v>664</v>
      </c>
      <c r="W97" s="196"/>
      <c r="X97" s="196"/>
      <c r="Y97" s="196"/>
      <c r="AU97" s="39" t="s">
        <v>370</v>
      </c>
      <c r="AV97" s="17" t="s">
        <v>21</v>
      </c>
      <c r="AW97" s="17">
        <v>45</v>
      </c>
      <c r="AX97" s="17" t="s">
        <v>22</v>
      </c>
      <c r="AY97" s="17" t="s">
        <v>371</v>
      </c>
      <c r="AZ97" s="180" t="s">
        <v>358</v>
      </c>
      <c r="BB97" s="4"/>
      <c r="BC97" s="4"/>
      <c r="BE97" s="72">
        <v>40</v>
      </c>
      <c r="BF97" s="203"/>
      <c r="BG97" s="159">
        <v>0.97</v>
      </c>
      <c r="BH97" s="70" t="s">
        <v>804</v>
      </c>
      <c r="BI97" s="38" t="s">
        <v>576</v>
      </c>
      <c r="BK97" s="447">
        <v>1</v>
      </c>
    </row>
    <row r="98" spans="15:63" ht="24.95" customHeight="1">
      <c r="O98" s="39" t="s">
        <v>362</v>
      </c>
      <c r="Q98" s="745"/>
      <c r="S98" s="745"/>
      <c r="T98" s="739"/>
      <c r="V98" s="195" t="s">
        <v>667</v>
      </c>
      <c r="W98" s="196"/>
      <c r="X98" s="196"/>
      <c r="Y98" s="196"/>
      <c r="AU98" s="39" t="s">
        <v>372</v>
      </c>
      <c r="AV98" s="17" t="s">
        <v>21</v>
      </c>
      <c r="AW98" s="17">
        <v>180</v>
      </c>
      <c r="AX98" s="17" t="s">
        <v>22</v>
      </c>
      <c r="AY98" s="17" t="s">
        <v>373</v>
      </c>
      <c r="AZ98" s="180" t="s">
        <v>358</v>
      </c>
      <c r="BB98" s="4"/>
      <c r="BC98" s="4"/>
      <c r="BE98" s="72">
        <v>40</v>
      </c>
      <c r="BF98" s="203"/>
      <c r="BG98" s="159">
        <v>0.96</v>
      </c>
      <c r="BH98" s="70" t="s">
        <v>805</v>
      </c>
      <c r="BI98" s="38" t="s">
        <v>666</v>
      </c>
      <c r="BK98" s="447">
        <v>1</v>
      </c>
    </row>
    <row r="99" spans="15:63" ht="24.95" customHeight="1">
      <c r="O99" s="39" t="s">
        <v>364</v>
      </c>
      <c r="Q99" s="358"/>
      <c r="V99" s="195" t="s">
        <v>668</v>
      </c>
      <c r="W99" s="196"/>
      <c r="X99" s="196"/>
      <c r="Y99" s="196"/>
      <c r="AU99" s="39" t="s">
        <v>268</v>
      </c>
      <c r="AV99" s="17" t="s">
        <v>21</v>
      </c>
      <c r="AW99" s="17">
        <v>240</v>
      </c>
      <c r="AX99" s="17" t="s">
        <v>22</v>
      </c>
      <c r="AY99" s="17" t="s">
        <v>374</v>
      </c>
      <c r="AZ99" s="181" t="s">
        <v>375</v>
      </c>
      <c r="BB99" s="4"/>
      <c r="BC99" s="4"/>
      <c r="BE99" s="72">
        <v>17</v>
      </c>
      <c r="BF99" s="203"/>
      <c r="BG99" s="159">
        <v>1.02</v>
      </c>
      <c r="BH99" s="70" t="s">
        <v>809</v>
      </c>
      <c r="BI99" s="38" t="s">
        <v>595</v>
      </c>
      <c r="BK99" s="447">
        <v>1</v>
      </c>
    </row>
    <row r="100" spans="15:63" ht="24.95" customHeight="1">
      <c r="O100" s="39" t="s">
        <v>367</v>
      </c>
      <c r="Q100" s="374" t="s">
        <v>786</v>
      </c>
      <c r="S100" s="374" t="s">
        <v>787</v>
      </c>
      <c r="T100" s="376" t="s">
        <v>788</v>
      </c>
      <c r="V100" s="197" t="s">
        <v>673</v>
      </c>
      <c r="W100" s="196"/>
      <c r="X100" s="196"/>
      <c r="Y100" s="196"/>
      <c r="AU100" s="39" t="s">
        <v>273</v>
      </c>
      <c r="AV100" s="17" t="s">
        <v>21</v>
      </c>
      <c r="AW100" s="17">
        <v>300</v>
      </c>
      <c r="AX100" s="17" t="s">
        <v>22</v>
      </c>
      <c r="AY100" s="17" t="s">
        <v>376</v>
      </c>
      <c r="AZ100" s="181" t="s">
        <v>375</v>
      </c>
      <c r="BB100" s="4"/>
      <c r="BC100" s="4"/>
      <c r="BE100" s="72">
        <v>40</v>
      </c>
      <c r="BF100" s="203"/>
      <c r="BG100" s="159">
        <v>0.94</v>
      </c>
      <c r="BH100" s="70" t="s">
        <v>810</v>
      </c>
      <c r="BI100" s="38" t="s">
        <v>588</v>
      </c>
      <c r="BK100" s="447">
        <v>1</v>
      </c>
    </row>
    <row r="101" spans="15:63" ht="24.95" customHeight="1">
      <c r="O101" s="39" t="s">
        <v>352</v>
      </c>
      <c r="Q101" s="375"/>
      <c r="S101" s="375"/>
      <c r="T101" s="376"/>
      <c r="V101" s="195" t="s">
        <v>676</v>
      </c>
      <c r="W101" s="196"/>
      <c r="X101" s="196"/>
      <c r="Y101" s="196"/>
      <c r="AU101" s="39" t="s">
        <v>29</v>
      </c>
      <c r="AV101" s="17" t="s">
        <v>21</v>
      </c>
      <c r="AW101" s="17">
        <v>350</v>
      </c>
      <c r="AX101" s="17" t="s">
        <v>22</v>
      </c>
      <c r="AY101" s="17" t="s">
        <v>377</v>
      </c>
      <c r="AZ101" s="181" t="s">
        <v>375</v>
      </c>
      <c r="BB101" s="4"/>
      <c r="BC101" s="4"/>
      <c r="BE101" s="72">
        <v>35</v>
      </c>
      <c r="BF101" s="203"/>
      <c r="BG101" s="159">
        <v>1.04</v>
      </c>
      <c r="BH101" s="70" t="s">
        <v>811</v>
      </c>
      <c r="BI101" s="38" t="s">
        <v>812</v>
      </c>
      <c r="BK101" s="447">
        <v>1</v>
      </c>
    </row>
    <row r="102" spans="15:63" ht="24.95" customHeight="1">
      <c r="O102" s="39" t="s">
        <v>378</v>
      </c>
      <c r="Q102" s="374" t="s">
        <v>793</v>
      </c>
      <c r="S102" s="374" t="s">
        <v>794</v>
      </c>
      <c r="T102" s="376" t="s">
        <v>795</v>
      </c>
      <c r="V102" s="197" t="s">
        <v>680</v>
      </c>
      <c r="W102" s="196"/>
      <c r="X102" s="196"/>
      <c r="Y102" s="196"/>
      <c r="AU102" s="39" t="s">
        <v>280</v>
      </c>
      <c r="AV102" s="17" t="s">
        <v>21</v>
      </c>
      <c r="AW102" s="17">
        <v>350</v>
      </c>
      <c r="AX102" s="17" t="s">
        <v>22</v>
      </c>
      <c r="AY102" s="17" t="s">
        <v>280</v>
      </c>
      <c r="AZ102" s="181" t="s">
        <v>375</v>
      </c>
      <c r="BB102" s="4"/>
      <c r="BC102" s="4"/>
      <c r="BE102" s="72">
        <v>16</v>
      </c>
      <c r="BF102" s="203"/>
      <c r="BG102" s="159">
        <v>1.03</v>
      </c>
      <c r="BH102" s="70" t="s">
        <v>816</v>
      </c>
      <c r="BI102" s="38" t="s">
        <v>576</v>
      </c>
      <c r="BK102" s="447">
        <v>1</v>
      </c>
    </row>
    <row r="103" spans="15:63" ht="24.95" customHeight="1">
      <c r="O103" s="39" t="s">
        <v>249</v>
      </c>
      <c r="Q103" s="375"/>
      <c r="S103" s="375"/>
      <c r="T103" s="376"/>
      <c r="V103"/>
      <c r="W103"/>
      <c r="X103"/>
      <c r="Y103"/>
      <c r="AU103" s="39" t="s">
        <v>283</v>
      </c>
      <c r="AV103" s="17" t="s">
        <v>21</v>
      </c>
      <c r="AW103" s="17">
        <v>300</v>
      </c>
      <c r="AX103" s="17" t="s">
        <v>22</v>
      </c>
      <c r="AY103" s="17" t="s">
        <v>379</v>
      </c>
      <c r="AZ103" s="181" t="s">
        <v>375</v>
      </c>
      <c r="BB103" s="4"/>
      <c r="BC103" s="4"/>
      <c r="BE103" s="72">
        <v>14</v>
      </c>
      <c r="BF103" s="203"/>
      <c r="BG103" s="159">
        <v>1.01</v>
      </c>
      <c r="BH103" s="70" t="s">
        <v>817</v>
      </c>
      <c r="BI103" s="38" t="s">
        <v>576</v>
      </c>
      <c r="BK103" s="447">
        <v>1</v>
      </c>
    </row>
    <row r="104" spans="15:63" ht="24.95" customHeight="1">
      <c r="O104" s="39" t="s">
        <v>380</v>
      </c>
      <c r="Q104" s="374" t="s">
        <v>800</v>
      </c>
      <c r="S104" s="374" t="s">
        <v>801</v>
      </c>
      <c r="T104" s="376" t="s">
        <v>802</v>
      </c>
      <c r="AU104" s="39" t="s">
        <v>299</v>
      </c>
      <c r="AV104" s="17" t="s">
        <v>21</v>
      </c>
      <c r="AW104" s="17">
        <v>240</v>
      </c>
      <c r="AX104" s="17" t="s">
        <v>22</v>
      </c>
      <c r="AY104" s="17" t="s">
        <v>381</v>
      </c>
      <c r="AZ104" s="181" t="s">
        <v>375</v>
      </c>
      <c r="BB104" s="4"/>
      <c r="BC104" s="4"/>
      <c r="BE104" s="72">
        <v>38</v>
      </c>
      <c r="BF104" s="203"/>
      <c r="BG104" s="159">
        <v>1.05</v>
      </c>
      <c r="BH104" s="70" t="s">
        <v>818</v>
      </c>
      <c r="BI104" s="38" t="s">
        <v>595</v>
      </c>
      <c r="BK104" s="447">
        <v>1</v>
      </c>
    </row>
    <row r="105" spans="15:63" ht="24.95" customHeight="1">
      <c r="O105" s="39" t="s">
        <v>382</v>
      </c>
      <c r="Q105" s="375"/>
      <c r="S105" s="375"/>
      <c r="T105" s="376"/>
      <c r="AU105" s="39" t="s">
        <v>313</v>
      </c>
      <c r="AV105" s="17" t="s">
        <v>21</v>
      </c>
      <c r="AW105" s="17">
        <v>200</v>
      </c>
      <c r="AX105" s="17" t="s">
        <v>22</v>
      </c>
      <c r="AY105" s="17" t="s">
        <v>383</v>
      </c>
      <c r="AZ105" s="181" t="s">
        <v>375</v>
      </c>
      <c r="BB105" s="4"/>
      <c r="BC105" s="4"/>
      <c r="BE105" s="72">
        <v>15</v>
      </c>
      <c r="BF105" s="203"/>
      <c r="BG105" s="159">
        <v>1.02</v>
      </c>
      <c r="BH105" s="70" t="s">
        <v>822</v>
      </c>
      <c r="BI105" s="38" t="s">
        <v>666</v>
      </c>
      <c r="BK105" s="447">
        <v>1</v>
      </c>
    </row>
    <row r="106" spans="15:63" ht="24.95" customHeight="1">
      <c r="O106" s="39" t="s">
        <v>353</v>
      </c>
      <c r="Q106" s="374" t="s">
        <v>806</v>
      </c>
      <c r="S106" s="374" t="s">
        <v>807</v>
      </c>
      <c r="T106" s="376" t="s">
        <v>808</v>
      </c>
      <c r="AU106" s="39" t="s">
        <v>316</v>
      </c>
      <c r="AV106" s="17" t="s">
        <v>21</v>
      </c>
      <c r="AW106" s="17">
        <v>150</v>
      </c>
      <c r="AX106" s="17" t="s">
        <v>22</v>
      </c>
      <c r="AY106" s="17" t="s">
        <v>384</v>
      </c>
      <c r="AZ106" s="181" t="s">
        <v>375</v>
      </c>
      <c r="BB106" s="4"/>
      <c r="BC106" s="4"/>
      <c r="BE106" s="72">
        <v>26</v>
      </c>
      <c r="BF106" s="203"/>
      <c r="BG106" s="159">
        <v>1.04</v>
      </c>
      <c r="BH106" s="70" t="s">
        <v>823</v>
      </c>
      <c r="BI106" s="38" t="s">
        <v>595</v>
      </c>
      <c r="BK106" s="447">
        <v>1</v>
      </c>
    </row>
    <row r="107" spans="15:63" ht="24.95" customHeight="1">
      <c r="O107" s="39" t="s">
        <v>201</v>
      </c>
      <c r="Q107" s="375"/>
      <c r="S107" s="375"/>
      <c r="T107" s="376"/>
      <c r="AU107" s="39" t="s">
        <v>318</v>
      </c>
      <c r="AV107" s="17" t="s">
        <v>21</v>
      </c>
      <c r="AW107" s="17">
        <v>180</v>
      </c>
      <c r="AX107" s="17" t="s">
        <v>22</v>
      </c>
      <c r="AY107" s="17" t="s">
        <v>385</v>
      </c>
      <c r="AZ107" s="181" t="s">
        <v>375</v>
      </c>
      <c r="BB107" s="4"/>
      <c r="BC107" s="4"/>
      <c r="BE107" s="72">
        <v>35</v>
      </c>
      <c r="BF107" s="203"/>
      <c r="BG107" s="159">
        <v>1.03</v>
      </c>
      <c r="BH107" s="70" t="s">
        <v>824</v>
      </c>
      <c r="BI107" s="38" t="s">
        <v>570</v>
      </c>
      <c r="BK107" s="447">
        <v>1</v>
      </c>
    </row>
    <row r="108" spans="15:63" ht="24.95" customHeight="1">
      <c r="O108" s="39" t="s">
        <v>370</v>
      </c>
      <c r="Q108" s="374" t="s">
        <v>813</v>
      </c>
      <c r="S108" s="374" t="s">
        <v>814</v>
      </c>
      <c r="T108" s="376" t="s">
        <v>815</v>
      </c>
      <c r="AU108" s="39" t="s">
        <v>320</v>
      </c>
      <c r="AV108" s="17" t="s">
        <v>21</v>
      </c>
      <c r="AW108" s="17">
        <v>150</v>
      </c>
      <c r="AX108" s="17" t="s">
        <v>22</v>
      </c>
      <c r="AY108" s="17" t="s">
        <v>386</v>
      </c>
      <c r="AZ108" s="181" t="s">
        <v>375</v>
      </c>
      <c r="BB108" s="4"/>
      <c r="BC108" s="4"/>
      <c r="BE108" s="72">
        <v>11</v>
      </c>
      <c r="BF108" s="203"/>
      <c r="BG108" s="159">
        <v>1.01</v>
      </c>
      <c r="BH108" s="70" t="s">
        <v>828</v>
      </c>
      <c r="BI108" s="38" t="s">
        <v>573</v>
      </c>
      <c r="BK108" s="447">
        <v>1</v>
      </c>
    </row>
    <row r="109" spans="15:63" ht="24.95" customHeight="1">
      <c r="O109" s="39" t="s">
        <v>205</v>
      </c>
      <c r="Q109" s="375"/>
      <c r="S109" s="375"/>
      <c r="T109" s="376"/>
      <c r="AU109" s="39" t="s">
        <v>336</v>
      </c>
      <c r="AV109" s="17" t="s">
        <v>21</v>
      </c>
      <c r="AW109" s="17">
        <v>270</v>
      </c>
      <c r="AX109" s="17" t="s">
        <v>22</v>
      </c>
      <c r="AY109" s="17" t="s">
        <v>387</v>
      </c>
      <c r="AZ109" s="181" t="s">
        <v>375</v>
      </c>
      <c r="BB109" s="4"/>
      <c r="BC109" s="4"/>
      <c r="BE109" s="72">
        <v>15</v>
      </c>
      <c r="BF109" s="203"/>
      <c r="BG109" s="159">
        <v>1.04</v>
      </c>
      <c r="BH109" s="70" t="s">
        <v>829</v>
      </c>
      <c r="BI109" s="38" t="s">
        <v>576</v>
      </c>
      <c r="BK109" s="447">
        <v>1</v>
      </c>
    </row>
    <row r="110" spans="15:63" ht="24.95" customHeight="1">
      <c r="O110" s="39" t="s">
        <v>388</v>
      </c>
      <c r="Q110" s="374" t="s">
        <v>819</v>
      </c>
      <c r="S110" s="374" t="s">
        <v>820</v>
      </c>
      <c r="T110" s="376" t="s">
        <v>821</v>
      </c>
      <c r="AU110" s="39" t="s">
        <v>338</v>
      </c>
      <c r="AV110" s="17" t="s">
        <v>21</v>
      </c>
      <c r="AW110" s="17">
        <v>250</v>
      </c>
      <c r="AX110" s="17" t="s">
        <v>22</v>
      </c>
      <c r="AY110" s="17" t="s">
        <v>389</v>
      </c>
      <c r="AZ110" s="181" t="s">
        <v>375</v>
      </c>
      <c r="BB110" s="4"/>
      <c r="BC110" s="4"/>
      <c r="BE110" s="72">
        <v>38</v>
      </c>
      <c r="BF110" s="203"/>
      <c r="BG110" s="159">
        <v>0.96</v>
      </c>
      <c r="BH110" s="70" t="s">
        <v>830</v>
      </c>
      <c r="BI110" s="38" t="s">
        <v>576</v>
      </c>
      <c r="BK110" s="447">
        <v>1</v>
      </c>
    </row>
    <row r="111" spans="15:63" ht="24.95" customHeight="1">
      <c r="O111" s="39" t="s">
        <v>390</v>
      </c>
      <c r="Q111" s="375"/>
      <c r="S111" s="375"/>
      <c r="T111" s="376"/>
      <c r="AU111" s="39" t="s">
        <v>339</v>
      </c>
      <c r="AV111" s="17" t="s">
        <v>21</v>
      </c>
      <c r="AW111" s="17">
        <v>180</v>
      </c>
      <c r="AX111" s="17" t="s">
        <v>22</v>
      </c>
      <c r="AY111" s="17" t="s">
        <v>391</v>
      </c>
      <c r="AZ111" s="181" t="s">
        <v>375</v>
      </c>
      <c r="BB111" s="4"/>
      <c r="BC111" s="4"/>
      <c r="BE111" s="72">
        <v>40</v>
      </c>
      <c r="BF111" s="203"/>
      <c r="BG111" s="159">
        <v>0.98</v>
      </c>
      <c r="BH111" s="70" t="s">
        <v>834</v>
      </c>
      <c r="BI111" s="38" t="s">
        <v>767</v>
      </c>
      <c r="BK111" s="447">
        <v>1</v>
      </c>
    </row>
    <row r="112" spans="15:63" ht="24.95" customHeight="1">
      <c r="O112" s="39" t="s">
        <v>125</v>
      </c>
      <c r="Q112" s="374" t="s">
        <v>825</v>
      </c>
      <c r="S112" s="374" t="s">
        <v>826</v>
      </c>
      <c r="T112" s="376" t="s">
        <v>827</v>
      </c>
      <c r="AU112" s="39" t="s">
        <v>341</v>
      </c>
      <c r="AV112" s="17" t="s">
        <v>21</v>
      </c>
      <c r="AW112" s="17">
        <v>400</v>
      </c>
      <c r="AX112" s="17" t="s">
        <v>22</v>
      </c>
      <c r="AY112" s="17" t="s">
        <v>392</v>
      </c>
      <c r="AZ112" s="181" t="s">
        <v>375</v>
      </c>
      <c r="BB112" s="4"/>
      <c r="BC112" s="4"/>
      <c r="BE112" s="72">
        <v>15</v>
      </c>
      <c r="BF112" s="203"/>
      <c r="BG112" s="159">
        <v>1.02</v>
      </c>
      <c r="BH112" s="70" t="s">
        <v>835</v>
      </c>
      <c r="BI112" s="38" t="s">
        <v>628</v>
      </c>
      <c r="BK112" s="447">
        <v>1</v>
      </c>
    </row>
    <row r="113" spans="1:63" ht="24.95" customHeight="1">
      <c r="O113" s="39" t="s">
        <v>211</v>
      </c>
      <c r="Q113" s="375"/>
      <c r="S113" s="375"/>
      <c r="T113" s="376"/>
      <c r="AU113" s="39" t="s">
        <v>349</v>
      </c>
      <c r="AV113" s="17" t="s">
        <v>21</v>
      </c>
      <c r="AW113" s="17">
        <v>240</v>
      </c>
      <c r="AX113" s="17" t="s">
        <v>22</v>
      </c>
      <c r="AY113" s="17" t="s">
        <v>393</v>
      </c>
      <c r="AZ113" s="181" t="s">
        <v>375</v>
      </c>
      <c r="BB113" s="4"/>
      <c r="BC113" s="4"/>
      <c r="BE113" s="72">
        <v>15</v>
      </c>
      <c r="BF113" s="203"/>
      <c r="BG113" s="159">
        <v>1.02</v>
      </c>
      <c r="BH113" s="70" t="s">
        <v>836</v>
      </c>
      <c r="BI113" s="38" t="s">
        <v>605</v>
      </c>
      <c r="BK113" s="447">
        <v>1</v>
      </c>
    </row>
    <row r="114" spans="1:63" ht="24.95" customHeight="1">
      <c r="O114" s="39" t="s">
        <v>216</v>
      </c>
      <c r="Q114" s="374" t="s">
        <v>831</v>
      </c>
      <c r="S114" s="374" t="s">
        <v>832</v>
      </c>
      <c r="T114" s="376" t="s">
        <v>833</v>
      </c>
      <c r="AU114" s="39" t="s">
        <v>363</v>
      </c>
      <c r="AV114" s="17" t="s">
        <v>21</v>
      </c>
      <c r="AW114" s="17">
        <v>25</v>
      </c>
      <c r="AX114" s="17" t="s">
        <v>22</v>
      </c>
      <c r="AY114" s="17" t="s">
        <v>394</v>
      </c>
      <c r="AZ114" s="181" t="s">
        <v>375</v>
      </c>
      <c r="BB114" s="4"/>
      <c r="BC114" s="4"/>
      <c r="BE114" s="72">
        <v>40</v>
      </c>
      <c r="BF114" s="203"/>
      <c r="BG114" s="159">
        <v>1.03</v>
      </c>
      <c r="BH114" s="70" t="s">
        <v>837</v>
      </c>
      <c r="BI114" s="38" t="s">
        <v>704</v>
      </c>
      <c r="BK114" s="447">
        <v>1</v>
      </c>
    </row>
    <row r="115" spans="1:63" ht="24.95" customHeight="1">
      <c r="O115" s="39" t="s">
        <v>83</v>
      </c>
      <c r="AU115" s="39" t="s">
        <v>366</v>
      </c>
      <c r="AV115" s="17" t="s">
        <v>21</v>
      </c>
      <c r="AW115" s="17">
        <v>350</v>
      </c>
      <c r="AX115" s="17" t="s">
        <v>22</v>
      </c>
      <c r="AY115" s="17" t="s">
        <v>395</v>
      </c>
      <c r="AZ115" s="181" t="s">
        <v>375</v>
      </c>
      <c r="BB115" s="4"/>
      <c r="BC115" s="4"/>
      <c r="BE115" s="72">
        <v>40</v>
      </c>
      <c r="BF115" s="203"/>
      <c r="BG115" s="159">
        <v>1.03</v>
      </c>
      <c r="BH115" s="70" t="s">
        <v>838</v>
      </c>
      <c r="BI115" s="38" t="s">
        <v>576</v>
      </c>
      <c r="BK115" s="447">
        <v>1</v>
      </c>
    </row>
    <row r="116" spans="1:63" ht="24.95" customHeight="1">
      <c r="O116" s="39" t="s">
        <v>355</v>
      </c>
      <c r="AU116" s="39" t="s">
        <v>369</v>
      </c>
      <c r="AV116" s="17" t="s">
        <v>21</v>
      </c>
      <c r="AW116" s="17">
        <v>240</v>
      </c>
      <c r="AX116" s="17" t="s">
        <v>22</v>
      </c>
      <c r="AY116" s="17" t="s">
        <v>396</v>
      </c>
      <c r="AZ116" s="181" t="s">
        <v>375</v>
      </c>
      <c r="BB116" s="4"/>
      <c r="BC116" s="4"/>
      <c r="BE116" s="72">
        <v>40</v>
      </c>
      <c r="BF116" s="203"/>
      <c r="BG116" s="159">
        <v>0.95</v>
      </c>
      <c r="BH116" s="70" t="s">
        <v>839</v>
      </c>
      <c r="BI116" s="38" t="s">
        <v>595</v>
      </c>
      <c r="BK116" s="447">
        <v>1</v>
      </c>
    </row>
    <row r="117" spans="1:63" ht="24.95" customHeight="1">
      <c r="O117" s="39" t="s">
        <v>227</v>
      </c>
      <c r="AU117" s="39" t="s">
        <v>378</v>
      </c>
      <c r="AV117" s="17" t="s">
        <v>21</v>
      </c>
      <c r="AW117" s="17">
        <v>250</v>
      </c>
      <c r="AX117" s="17" t="s">
        <v>22</v>
      </c>
      <c r="AY117" s="17" t="s">
        <v>378</v>
      </c>
      <c r="AZ117" s="181" t="s">
        <v>375</v>
      </c>
      <c r="BB117" s="4"/>
      <c r="BC117" s="4"/>
      <c r="BE117" s="72">
        <v>40</v>
      </c>
      <c r="BF117" s="203"/>
      <c r="BG117" s="159">
        <v>0.94</v>
      </c>
      <c r="BH117" s="70" t="s">
        <v>840</v>
      </c>
      <c r="BI117" s="38" t="s">
        <v>595</v>
      </c>
      <c r="BK117" s="447">
        <v>1</v>
      </c>
    </row>
    <row r="118" spans="1:63" ht="24.95" customHeight="1">
      <c r="O118" s="39" t="s">
        <v>270</v>
      </c>
      <c r="AU118" s="39" t="s">
        <v>380</v>
      </c>
      <c r="AV118" s="17" t="s">
        <v>21</v>
      </c>
      <c r="AW118" s="17">
        <v>150</v>
      </c>
      <c r="AX118" s="17" t="s">
        <v>22</v>
      </c>
      <c r="AY118" s="17" t="s">
        <v>380</v>
      </c>
      <c r="AZ118" s="181" t="s">
        <v>375</v>
      </c>
      <c r="BB118" s="4"/>
      <c r="BC118" s="4"/>
      <c r="BE118" s="72">
        <v>15</v>
      </c>
      <c r="BF118" s="203"/>
      <c r="BG118" s="159">
        <v>1.02</v>
      </c>
      <c r="BH118" s="70" t="s">
        <v>841</v>
      </c>
      <c r="BI118" s="38" t="s">
        <v>595</v>
      </c>
      <c r="BK118" s="447">
        <v>1</v>
      </c>
    </row>
    <row r="119" spans="1:63" ht="24.95" customHeight="1">
      <c r="O119" s="39" t="s">
        <v>238</v>
      </c>
      <c r="AU119" s="39" t="s">
        <v>382</v>
      </c>
      <c r="AV119" s="17" t="s">
        <v>21</v>
      </c>
      <c r="AW119" s="17">
        <v>150</v>
      </c>
      <c r="AX119" s="17" t="s">
        <v>22</v>
      </c>
      <c r="AY119" s="17" t="s">
        <v>397</v>
      </c>
      <c r="AZ119" s="181" t="s">
        <v>375</v>
      </c>
      <c r="BB119" s="4"/>
      <c r="BC119" s="4"/>
      <c r="BK119" s="447">
        <v>1</v>
      </c>
    </row>
    <row r="120" spans="1:63" ht="24.95" customHeight="1">
      <c r="O120" s="39" t="s">
        <v>372</v>
      </c>
      <c r="AU120" s="39" t="s">
        <v>388</v>
      </c>
      <c r="AV120" s="17" t="s">
        <v>21</v>
      </c>
      <c r="AW120" s="17">
        <v>400</v>
      </c>
      <c r="AX120" s="17" t="s">
        <v>22</v>
      </c>
      <c r="AY120" s="17" t="s">
        <v>398</v>
      </c>
      <c r="AZ120" s="181" t="s">
        <v>375</v>
      </c>
      <c r="BB120" s="4"/>
      <c r="BC120" s="4"/>
      <c r="BK120" s="447">
        <v>1</v>
      </c>
    </row>
    <row r="121" spans="1:63" ht="24.95" customHeight="1">
      <c r="O121" s="39" t="s">
        <v>93</v>
      </c>
      <c r="AU121" s="39" t="s">
        <v>390</v>
      </c>
      <c r="AV121" s="17" t="s">
        <v>21</v>
      </c>
      <c r="AW121" s="17">
        <v>250</v>
      </c>
      <c r="AX121" s="17" t="s">
        <v>22</v>
      </c>
      <c r="AY121" s="17" t="s">
        <v>399</v>
      </c>
      <c r="AZ121" s="181" t="s">
        <v>375</v>
      </c>
      <c r="BB121" s="4"/>
      <c r="BC121" s="4"/>
      <c r="BK121" s="447">
        <v>1</v>
      </c>
    </row>
    <row r="122" spans="1:63" ht="24.95" customHeight="1">
      <c r="BK122" s="447">
        <v>1</v>
      </c>
    </row>
    <row r="123" spans="1:63" ht="24.95" customHeight="1">
      <c r="BK123" s="447">
        <v>1</v>
      </c>
    </row>
    <row r="124" spans="1:63" ht="24.95" customHeight="1">
      <c r="BK124" s="447">
        <v>1</v>
      </c>
    </row>
    <row r="125" spans="1:63" ht="24.95" customHeight="1">
      <c r="BK125" s="447">
        <v>1</v>
      </c>
    </row>
    <row r="126" spans="1:63" ht="24.95" customHeight="1">
      <c r="BK126" s="447">
        <v>1</v>
      </c>
    </row>
    <row r="127" spans="1:63" ht="24.95" customHeight="1">
      <c r="A127" s="447">
        <v>1</v>
      </c>
      <c r="B127" s="447">
        <v>1</v>
      </c>
      <c r="C127" s="447">
        <v>1</v>
      </c>
      <c r="D127" s="447">
        <v>1</v>
      </c>
      <c r="E127" s="447">
        <v>1</v>
      </c>
      <c r="F127" s="447">
        <v>1</v>
      </c>
      <c r="G127" s="447">
        <v>1</v>
      </c>
      <c r="H127" s="447">
        <v>1</v>
      </c>
      <c r="I127" s="447">
        <v>1</v>
      </c>
      <c r="J127" s="447">
        <v>1</v>
      </c>
      <c r="K127" s="447">
        <v>1</v>
      </c>
      <c r="L127" s="447">
        <v>1</v>
      </c>
      <c r="M127" s="447">
        <v>1</v>
      </c>
      <c r="N127" s="447">
        <v>1</v>
      </c>
      <c r="O127" s="447">
        <v>1</v>
      </c>
      <c r="P127" s="447">
        <v>1</v>
      </c>
      <c r="Q127" s="447">
        <v>1</v>
      </c>
      <c r="R127" s="447">
        <v>1</v>
      </c>
      <c r="S127" s="447">
        <v>1</v>
      </c>
      <c r="T127" s="447">
        <v>1</v>
      </c>
      <c r="U127" s="447">
        <v>1</v>
      </c>
      <c r="V127" s="447">
        <v>1</v>
      </c>
      <c r="W127" s="447">
        <v>1</v>
      </c>
      <c r="X127" s="447">
        <v>1</v>
      </c>
      <c r="Y127" s="447">
        <v>1</v>
      </c>
      <c r="Z127" s="447">
        <v>1</v>
      </c>
      <c r="AA127" s="447">
        <v>1</v>
      </c>
      <c r="AB127" s="447">
        <v>1</v>
      </c>
      <c r="AC127" s="447">
        <v>1</v>
      </c>
      <c r="AD127" s="447">
        <v>1</v>
      </c>
      <c r="AE127" s="447">
        <v>1</v>
      </c>
      <c r="AF127" s="447">
        <v>1</v>
      </c>
      <c r="AG127" s="447">
        <v>1</v>
      </c>
      <c r="AH127" s="447">
        <v>1</v>
      </c>
      <c r="AI127" s="447">
        <v>1</v>
      </c>
      <c r="AJ127" s="447">
        <v>1</v>
      </c>
      <c r="AK127" s="447">
        <v>1</v>
      </c>
      <c r="AL127" s="447">
        <v>1</v>
      </c>
      <c r="AM127" s="447">
        <v>1</v>
      </c>
      <c r="AN127" s="447">
        <v>1</v>
      </c>
      <c r="AO127" s="447">
        <v>1</v>
      </c>
      <c r="AP127" s="447">
        <v>1</v>
      </c>
      <c r="AQ127" s="447">
        <v>1</v>
      </c>
      <c r="AR127" s="447">
        <v>1</v>
      </c>
      <c r="AS127" s="447">
        <v>1</v>
      </c>
      <c r="AT127" s="447">
        <v>1</v>
      </c>
      <c r="AU127" s="447">
        <v>1</v>
      </c>
      <c r="AV127" s="447">
        <v>1</v>
      </c>
      <c r="AW127" s="447">
        <v>1</v>
      </c>
      <c r="AX127" s="447">
        <v>1</v>
      </c>
      <c r="AY127" s="447">
        <v>1</v>
      </c>
      <c r="AZ127" s="447">
        <v>1</v>
      </c>
      <c r="BA127" s="447">
        <v>1</v>
      </c>
      <c r="BB127" s="447">
        <v>1</v>
      </c>
      <c r="BC127" s="447">
        <v>1</v>
      </c>
      <c r="BD127" s="447">
        <v>1</v>
      </c>
      <c r="BE127" s="447">
        <v>1</v>
      </c>
      <c r="BF127" s="447">
        <v>1</v>
      </c>
      <c r="BG127" s="447">
        <v>1</v>
      </c>
      <c r="BH127" s="447">
        <v>1</v>
      </c>
      <c r="BI127" s="447">
        <v>1</v>
      </c>
      <c r="BJ127" s="447">
        <v>1</v>
      </c>
      <c r="BK127" s="448" t="s">
        <v>842</v>
      </c>
    </row>
  </sheetData>
  <mergeCells count="31">
    <mergeCell ref="AU3:AY3"/>
    <mergeCell ref="B16:M16"/>
    <mergeCell ref="V16:X16"/>
    <mergeCell ref="A17:A48"/>
    <mergeCell ref="AC23:AF24"/>
    <mergeCell ref="AH39:AH40"/>
    <mergeCell ref="AI39:AJ40"/>
    <mergeCell ref="AK39:AN40"/>
    <mergeCell ref="W17:Y17"/>
    <mergeCell ref="V12:AF13"/>
    <mergeCell ref="AO43:AR44"/>
    <mergeCell ref="V62:Y62"/>
    <mergeCell ref="V76:Y76"/>
    <mergeCell ref="O1:O2"/>
    <mergeCell ref="O3:O4"/>
    <mergeCell ref="V90:Y90"/>
    <mergeCell ref="T97:T98"/>
    <mergeCell ref="BE4:BE5"/>
    <mergeCell ref="BG4:BG5"/>
    <mergeCell ref="Q29:Q30"/>
    <mergeCell ref="Q46:Q47"/>
    <mergeCell ref="Q97:Q98"/>
    <mergeCell ref="S97:S98"/>
    <mergeCell ref="AO39:AR40"/>
    <mergeCell ref="AH41:AH42"/>
    <mergeCell ref="AI41:AJ42"/>
    <mergeCell ref="AK41:AN42"/>
    <mergeCell ref="AO41:AR42"/>
    <mergeCell ref="AH43:AH44"/>
    <mergeCell ref="AI43:AJ44"/>
    <mergeCell ref="AK43:AN44"/>
  </mergeCells>
  <conditionalFormatting sqref="AZ5:AZ122">
    <cfRule type="expression" dxfId="76" priority="8">
      <formula>$AZ5="CONTENANT"</formula>
    </cfRule>
    <cfRule type="expression" dxfId="75" priority="9">
      <formula>$AZ5="MESURE / DOSE"</formula>
    </cfRule>
    <cfRule type="expression" dxfId="74" priority="10">
      <formula>$AZ5="STYLE / FAMILLE"</formula>
    </cfRule>
    <cfRule type="expression" dxfId="73" priority="11">
      <formula>$AZ5="MODE DE SERVICE"</formula>
    </cfRule>
    <cfRule type="expression" dxfId="72" priority="12">
      <formula>$AZ5="MODE DE PRÉPARATION"</formula>
    </cfRule>
    <cfRule type="expression" dxfId="71" priority="13">
      <formula>LEFT($AZ5,7)="BOISSON"</formula>
    </cfRule>
    <cfRule type="expression" dxfId="70" priority="14">
      <formula>LEFT($AZ5,5)="UNITÉ"</formula>
    </cfRule>
  </conditionalFormatting>
  <conditionalFormatting sqref="AZ43:AZ44">
    <cfRule type="expression" dxfId="69" priority="1">
      <formula>#REF!="CONTENANT"</formula>
    </cfRule>
    <cfRule type="expression" dxfId="68" priority="2">
      <formula>#REF!="MESURE / DOSE"</formula>
    </cfRule>
    <cfRule type="expression" dxfId="67" priority="3">
      <formula>#REF!="STYLE / FAMILLE"</formula>
    </cfRule>
    <cfRule type="expression" dxfId="66" priority="4">
      <formula>#REF!="MODE DE SERVICE"</formula>
    </cfRule>
    <cfRule type="expression" dxfId="65" priority="5">
      <formula>#REF!="MODE DE PRÉPARATION"</formula>
    </cfRule>
    <cfRule type="expression" dxfId="64" priority="6">
      <formula>LEFT(#REF!,7)="BOISSON"</formula>
    </cfRule>
    <cfRule type="expression" dxfId="63" priority="7">
      <formula>LEFT(#REF!,5)="UNITÉ"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017CC-8BA9-4BFC-A3CB-9D5F54803F24}">
  <dimension ref="A1:BC458"/>
  <sheetViews>
    <sheetView topLeftCell="U26" zoomScaleNormal="100" workbookViewId="0">
      <selection activeCell="V16" sqref="V16:AF35"/>
    </sheetView>
  </sheetViews>
  <sheetFormatPr baseColWidth="10" defaultColWidth="10.28515625" defaultRowHeight="15"/>
  <cols>
    <col min="1" max="1" width="6" style="1" customWidth="1"/>
    <col min="2" max="2" width="20.5703125" style="1" customWidth="1"/>
    <col min="3" max="3" width="29.42578125" style="1" customWidth="1"/>
    <col min="4" max="4" width="9.7109375" style="1" customWidth="1"/>
    <col min="5" max="5" width="16" style="1" customWidth="1"/>
    <col min="6" max="6" width="22.85546875" style="1" customWidth="1"/>
    <col min="7" max="7" width="12.5703125" style="1" customWidth="1"/>
    <col min="8" max="8" width="16" style="1" customWidth="1"/>
    <col min="9" max="9" width="20.5703125" style="1" customWidth="1"/>
    <col min="10" max="10" width="14.85546875" style="1" customWidth="1"/>
    <col min="11" max="11" width="17.140625" style="1" customWidth="1"/>
    <col min="12" max="12" width="20.7109375" style="1" customWidth="1"/>
    <col min="13" max="13" width="20.5703125" style="1" customWidth="1"/>
    <col min="14" max="14" width="3.42578125" style="1" customWidth="1"/>
    <col min="15" max="15" width="22.85546875" style="1" customWidth="1"/>
    <col min="16" max="16" width="13.7109375" style="1" customWidth="1"/>
    <col min="17" max="17" width="35.5703125" style="1" customWidth="1"/>
    <col min="18" max="18" width="13.7109375" style="1" customWidth="1"/>
    <col min="19" max="19" width="19.140625" style="1" customWidth="1"/>
    <col min="20" max="20" width="25.140625" style="1" customWidth="1"/>
    <col min="21" max="21" width="20.28515625" style="1" customWidth="1"/>
    <col min="22" max="22" width="39.42578125" style="1" customWidth="1"/>
    <col min="23" max="23" width="16" style="1" customWidth="1"/>
    <col min="24" max="24" width="18.28515625" style="1" customWidth="1"/>
    <col min="25" max="25" width="25.140625" style="1" customWidth="1"/>
    <col min="26" max="26" width="16" style="1" customWidth="1"/>
    <col min="27" max="27" width="13.7109375" style="1" customWidth="1"/>
    <col min="28" max="28" width="14.85546875" style="1" customWidth="1"/>
    <col min="29" max="29" width="19.7109375" style="1" customWidth="1"/>
    <col min="30" max="30" width="17.140625" style="1" customWidth="1"/>
    <col min="31" max="31" width="20.5703125" style="1" customWidth="1"/>
    <col min="32" max="32" width="38.85546875" style="1" customWidth="1"/>
    <col min="33" max="34" width="10.28515625" style="1"/>
    <col min="35" max="35" width="29.140625" style="1" customWidth="1"/>
    <col min="36" max="38" width="18.5703125" style="1" customWidth="1"/>
    <col min="39" max="39" width="19.7109375" style="1" customWidth="1"/>
    <col min="40" max="40" width="18.5703125" style="1" customWidth="1"/>
    <col min="41" max="42" width="17.42578125" style="1" customWidth="1"/>
    <col min="43" max="43" width="20.85546875" style="1" customWidth="1"/>
    <col min="44" max="44" width="11.7109375" style="1" customWidth="1"/>
    <col min="45" max="45" width="16" style="1" customWidth="1"/>
    <col min="46" max="46" width="10.28515625" style="1"/>
    <col min="47" max="47" width="22.85546875" style="1" customWidth="1"/>
    <col min="48" max="50" width="13.7109375" style="1" customWidth="1"/>
    <col min="51" max="51" width="20.5703125" style="1" customWidth="1"/>
    <col min="52" max="52" width="22" style="1" customWidth="1"/>
    <col min="53" max="53" width="10.28515625" style="1"/>
    <col min="54" max="54" width="24" style="1" customWidth="1"/>
    <col min="55" max="55" width="12" style="1" customWidth="1"/>
    <col min="56" max="16384" width="10.28515625" style="1"/>
  </cols>
  <sheetData>
    <row r="1" spans="1:55" ht="44.1" customHeight="1">
      <c r="B1" s="2" t="s">
        <v>0</v>
      </c>
      <c r="C1" s="2"/>
      <c r="D1" s="2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751" t="s">
        <v>2</v>
      </c>
      <c r="P1" s="3"/>
      <c r="Q1" s="695" t="s">
        <v>548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U1" s="4"/>
      <c r="AV1" s="4"/>
      <c r="AW1" s="4"/>
      <c r="AX1" s="4"/>
      <c r="AY1" s="4"/>
      <c r="AZ1" s="4"/>
      <c r="BB1" s="4"/>
      <c r="BC1" s="4"/>
    </row>
    <row r="2" spans="1:55" ht="30" customHeight="1">
      <c r="B2" s="5" t="s">
        <v>3</v>
      </c>
      <c r="C2" s="6" t="s">
        <v>478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51"/>
      <c r="P2" s="3"/>
      <c r="Q2" s="216" t="s">
        <v>7266</v>
      </c>
      <c r="R2" s="3"/>
      <c r="S2" s="3"/>
      <c r="T2" s="3"/>
      <c r="U2" s="3"/>
      <c r="Z2" s="3"/>
      <c r="AA2" s="3"/>
      <c r="AB2" s="3"/>
      <c r="AC2" s="3"/>
      <c r="AD2" s="3"/>
      <c r="AE2" s="3"/>
      <c r="AF2" s="3"/>
      <c r="AU2" s="4"/>
      <c r="AV2" s="4"/>
      <c r="AW2" s="4"/>
      <c r="AX2" s="4"/>
      <c r="AY2" s="4"/>
      <c r="AZ2" s="4"/>
      <c r="BB2" s="4"/>
      <c r="BC2" s="4"/>
    </row>
    <row r="3" spans="1:55" ht="26.25" customHeight="1">
      <c r="B3" s="8" t="s">
        <v>479</v>
      </c>
      <c r="C3" s="709" t="str" cm="1">
        <f t="array" aca="1" ref="C3" ca="1">CELL("nomfichier")</f>
        <v>D:\Données\1.UPRT\0-UPRT.fait\1-UPRT.FR-SITE-WEB\ff-fiches-fabrications\ff.fiches.fabrication.2026\ffr-restaurant-2026\[02-15-fiche-technique-cocktails-06-09-20h-2026.xlsx]Fiche.recette</v>
      </c>
      <c r="D3" s="3"/>
      <c r="E3" s="3"/>
      <c r="F3" s="3"/>
      <c r="G3" s="3"/>
      <c r="H3" s="3"/>
      <c r="I3" s="140"/>
      <c r="J3" s="140"/>
      <c r="K3" s="140"/>
      <c r="L3" s="140"/>
      <c r="M3" s="140"/>
      <c r="N3" s="3"/>
      <c r="O3" s="751" t="s">
        <v>480</v>
      </c>
      <c r="P3" s="3"/>
      <c r="Q3" s="3"/>
      <c r="R3" s="3"/>
      <c r="S3" s="3"/>
      <c r="T3" s="3"/>
      <c r="U3" s="3"/>
      <c r="Z3" s="3"/>
      <c r="AA3" s="3"/>
      <c r="AB3" s="3"/>
      <c r="AC3" s="3"/>
      <c r="AD3" s="3"/>
      <c r="AE3" s="3"/>
      <c r="AF3" s="3"/>
      <c r="AU3" s="752" t="s">
        <v>4</v>
      </c>
      <c r="AV3" s="753"/>
      <c r="AW3" s="753"/>
      <c r="AX3" s="753"/>
      <c r="AY3" s="754"/>
      <c r="AZ3" s="141" t="s">
        <v>5</v>
      </c>
      <c r="BB3" s="141" t="s">
        <v>6</v>
      </c>
      <c r="BC3" s="141"/>
    </row>
    <row r="4" spans="1:55" ht="24.95" customHeight="1">
      <c r="B4" s="140"/>
      <c r="C4" s="710" t="str">
        <f>$C$17</f>
        <v>AMERICANO</v>
      </c>
      <c r="D4" s="710"/>
      <c r="E4" s="140" t="str">
        <f>$C$20</f>
        <v>A . Americano . Avec alcool . Before dinner . Verre Tumbler (old fashioned).On the rocks  couleur rouge doux  intensité *** amer</v>
      </c>
      <c r="F4" s="140"/>
      <c r="G4" s="140"/>
      <c r="H4" s="140"/>
      <c r="I4" s="140"/>
      <c r="J4" s="140"/>
      <c r="K4" s="140"/>
      <c r="L4" s="140"/>
      <c r="M4" s="140"/>
      <c r="N4" s="3"/>
      <c r="O4" s="751"/>
      <c r="P4" s="3"/>
      <c r="Q4" s="207" t="s">
        <v>844</v>
      </c>
      <c r="R4" s="3"/>
      <c r="S4" s="3"/>
      <c r="T4" s="3"/>
      <c r="U4" s="3"/>
      <c r="Z4" s="3"/>
      <c r="AA4" s="3"/>
      <c r="AB4" s="3"/>
      <c r="AC4" s="3"/>
      <c r="AD4" s="3"/>
      <c r="AE4" s="3"/>
      <c r="AF4" s="3"/>
      <c r="AU4" s="12" t="s">
        <v>9</v>
      </c>
      <c r="AV4" s="13" t="s">
        <v>10</v>
      </c>
      <c r="AW4" s="13" t="s">
        <v>11</v>
      </c>
      <c r="AX4" s="13" t="s">
        <v>12</v>
      </c>
      <c r="AY4" s="13" t="s">
        <v>13</v>
      </c>
      <c r="AZ4" s="142" t="s">
        <v>14</v>
      </c>
      <c r="BB4" s="141" t="s">
        <v>15</v>
      </c>
      <c r="BC4" s="141" t="s">
        <v>16</v>
      </c>
    </row>
    <row r="5" spans="1:55" ht="24.95" customHeight="1">
      <c r="B5" s="140"/>
      <c r="C5" s="710" t="str">
        <f>$C$53</f>
        <v>MOJITO</v>
      </c>
      <c r="D5" s="710"/>
      <c r="E5" s="140" t="str">
        <f>$C$56</f>
        <v>M . Mojito . Avec alcool . All day . Verre Highball.On the rocks  couleur vert pâle  intensité ** frais acidulé</v>
      </c>
      <c r="F5" s="140"/>
      <c r="G5" s="140"/>
      <c r="H5" s="140"/>
      <c r="I5" s="140"/>
      <c r="J5" s="140"/>
      <c r="K5" s="140"/>
      <c r="L5" s="140"/>
      <c r="M5" s="140"/>
      <c r="N5" s="3"/>
      <c r="O5" s="16" t="s">
        <v>20</v>
      </c>
      <c r="P5" s="3"/>
      <c r="Q5" s="208" t="s">
        <v>845</v>
      </c>
      <c r="R5" s="3"/>
      <c r="S5" s="3"/>
      <c r="T5" s="3"/>
      <c r="U5" s="3"/>
      <c r="Z5" s="3"/>
      <c r="AA5" s="3"/>
      <c r="AB5" s="3"/>
      <c r="AC5" s="3"/>
      <c r="AD5" s="3"/>
      <c r="AE5" s="3"/>
      <c r="AF5" s="3"/>
      <c r="AU5" s="16" t="s">
        <v>20</v>
      </c>
      <c r="AV5" s="17" t="s">
        <v>21</v>
      </c>
      <c r="AW5" s="17">
        <v>1000</v>
      </c>
      <c r="AX5" s="17" t="s">
        <v>22</v>
      </c>
      <c r="AY5" s="17" t="s">
        <v>20</v>
      </c>
      <c r="AZ5" s="143" t="s">
        <v>23</v>
      </c>
      <c r="BB5" s="144" t="s">
        <v>24</v>
      </c>
      <c r="BC5" s="145">
        <v>35</v>
      </c>
    </row>
    <row r="6" spans="1:55" ht="24.95" customHeight="1">
      <c r="B6" s="140"/>
      <c r="C6" s="710" t="str">
        <f>$C$89</f>
        <v>MARGARITA</v>
      </c>
      <c r="D6" s="710"/>
      <c r="E6" s="140" t="str">
        <f>$C$92</f>
        <v>M . Margarita . Avec alcool . All day . Verre Coupette.Straight up  couleur jaune-vert pâle  intensité *** acidulé</v>
      </c>
      <c r="F6" s="140"/>
      <c r="G6" s="140"/>
      <c r="H6" s="140"/>
      <c r="I6" s="140"/>
      <c r="J6" s="140"/>
      <c r="K6" s="140"/>
      <c r="L6" s="140"/>
      <c r="M6" s="140"/>
      <c r="N6" s="3"/>
      <c r="O6" s="18" t="s">
        <v>28</v>
      </c>
      <c r="P6" s="3"/>
      <c r="Q6" s="208" t="s">
        <v>846</v>
      </c>
      <c r="R6" s="3"/>
      <c r="S6" s="3"/>
      <c r="T6" s="3"/>
      <c r="U6" s="3"/>
      <c r="Z6" s="3"/>
      <c r="AA6" s="3"/>
      <c r="AB6" s="3"/>
      <c r="AC6" s="3"/>
      <c r="AD6" s="3"/>
      <c r="AE6" s="3"/>
      <c r="AF6" s="3"/>
      <c r="AU6" s="18" t="s">
        <v>28</v>
      </c>
      <c r="AV6" s="17" t="s">
        <v>21</v>
      </c>
      <c r="AW6" s="17">
        <v>100</v>
      </c>
      <c r="AX6" s="17" t="s">
        <v>22</v>
      </c>
      <c r="AY6" s="17" t="s">
        <v>28</v>
      </c>
      <c r="AZ6" s="143" t="s">
        <v>23</v>
      </c>
      <c r="BB6" s="144" t="s">
        <v>29</v>
      </c>
      <c r="BC6" s="145">
        <v>30</v>
      </c>
    </row>
    <row r="7" spans="1:55" ht="24.95" customHeight="1">
      <c r="B7" s="140"/>
      <c r="C7" s="710" t="str">
        <f>$C$125</f>
        <v>DAIQUIRI</v>
      </c>
      <c r="D7" s="710"/>
      <c r="E7" s="140" t="str">
        <f>$C$128</f>
        <v>D . Daiquiri . Avec alcool . All day . Verre Coupette.Straight up  couleur blanc translucide  intensité *** acidulé</v>
      </c>
      <c r="F7" s="140"/>
      <c r="G7" s="140"/>
      <c r="H7" s="140"/>
      <c r="I7" s="140"/>
      <c r="J7" s="140"/>
      <c r="K7" s="140"/>
      <c r="L7" s="140"/>
      <c r="M7" s="140"/>
      <c r="N7" s="3"/>
      <c r="O7" s="18" t="s">
        <v>32</v>
      </c>
      <c r="P7" s="3"/>
      <c r="Q7" s="3"/>
      <c r="R7" s="3"/>
      <c r="S7" s="3"/>
      <c r="T7" s="3"/>
      <c r="U7" s="3"/>
      <c r="Z7" s="3"/>
      <c r="AA7" s="3"/>
      <c r="AB7" s="3"/>
      <c r="AC7" s="3"/>
      <c r="AD7" s="3"/>
      <c r="AE7" s="3"/>
      <c r="AF7" s="3"/>
      <c r="AU7" s="18" t="s">
        <v>32</v>
      </c>
      <c r="AV7" s="17" t="s">
        <v>21</v>
      </c>
      <c r="AW7" s="17">
        <v>10</v>
      </c>
      <c r="AX7" s="17" t="s">
        <v>22</v>
      </c>
      <c r="AY7" s="17" t="s">
        <v>32</v>
      </c>
      <c r="AZ7" s="143" t="s">
        <v>23</v>
      </c>
      <c r="BB7" s="144" t="s">
        <v>33</v>
      </c>
      <c r="BC7" s="145">
        <v>40</v>
      </c>
    </row>
    <row r="8" spans="1:55" ht="24.95" customHeight="1">
      <c r="B8" s="140"/>
      <c r="C8" s="710" t="str">
        <f>$C$161</f>
        <v>NEGRONI</v>
      </c>
      <c r="D8" s="710"/>
      <c r="E8" s="140" t="str">
        <f>$C$164</f>
        <v>N . Negroni . Avec alcool . Before dinner . Verre Tumbler (old fashioned).On the rocks  couleur rouge rubis  intensité **** amer</v>
      </c>
      <c r="F8" s="140"/>
      <c r="G8" s="140"/>
      <c r="H8" s="140"/>
      <c r="I8" s="140"/>
      <c r="J8" s="140"/>
      <c r="K8" s="140"/>
      <c r="L8" s="140"/>
      <c r="M8" s="140"/>
      <c r="N8" s="3"/>
      <c r="O8" s="18" t="s">
        <v>22</v>
      </c>
      <c r="P8" s="3"/>
      <c r="Q8" s="29" t="s">
        <v>70</v>
      </c>
      <c r="R8" s="3"/>
      <c r="T8" s="3"/>
      <c r="U8" s="3"/>
      <c r="Z8" s="3"/>
      <c r="AA8" s="3"/>
      <c r="AB8" s="3"/>
      <c r="AC8" s="3"/>
      <c r="AD8" s="3"/>
      <c r="AE8" s="3"/>
      <c r="AF8" s="3"/>
      <c r="AU8" s="18" t="s">
        <v>22</v>
      </c>
      <c r="AV8" s="17" t="s">
        <v>21</v>
      </c>
      <c r="AW8" s="17">
        <v>1</v>
      </c>
      <c r="AX8" s="17" t="s">
        <v>22</v>
      </c>
      <c r="AY8" s="17" t="s">
        <v>22</v>
      </c>
      <c r="AZ8" s="143" t="s">
        <v>23</v>
      </c>
      <c r="BB8" s="144" t="s">
        <v>36</v>
      </c>
      <c r="BC8" s="145">
        <v>18</v>
      </c>
    </row>
    <row r="9" spans="1:55" ht="24.95" customHeight="1">
      <c r="B9" s="140"/>
      <c r="C9" s="710" t="str">
        <f>$C$197</f>
        <v>PIÑA COLADA</v>
      </c>
      <c r="D9" s="710"/>
      <c r="E9" s="140" t="str">
        <f>$C$200</f>
        <v>P . Piña colada . Avec alcool . All day . Verre Hurricane.Frozen / long drink  couleur blanc crème  intensité *** doux fruité</v>
      </c>
      <c r="F9" s="140"/>
      <c r="G9" s="140"/>
      <c r="H9" s="140"/>
      <c r="I9" s="140"/>
      <c r="J9" s="140"/>
      <c r="K9" s="140"/>
      <c r="L9" s="140"/>
      <c r="M9" s="140"/>
      <c r="N9" s="3"/>
      <c r="O9" s="20" t="s">
        <v>39</v>
      </c>
      <c r="P9" s="3"/>
      <c r="Q9" s="184"/>
      <c r="R9" s="3"/>
      <c r="S9"/>
      <c r="T9" s="3"/>
      <c r="U9" s="3"/>
      <c r="Z9" s="3"/>
      <c r="AA9" s="3"/>
      <c r="AB9" s="3"/>
      <c r="AC9" s="3"/>
      <c r="AD9" s="3"/>
      <c r="AE9" s="3"/>
      <c r="AF9" s="3"/>
      <c r="AU9" s="20" t="s">
        <v>39</v>
      </c>
      <c r="AV9" s="17" t="s">
        <v>21</v>
      </c>
      <c r="AW9" s="17">
        <v>500</v>
      </c>
      <c r="AX9" s="17" t="s">
        <v>22</v>
      </c>
      <c r="AY9" s="17" t="s">
        <v>20</v>
      </c>
      <c r="AZ9" s="143" t="s">
        <v>23</v>
      </c>
      <c r="BB9" s="144" t="s">
        <v>40</v>
      </c>
      <c r="BC9" s="145">
        <v>18</v>
      </c>
    </row>
    <row r="10" spans="1:55" ht="24.95" customHeight="1">
      <c r="B10" s="140"/>
      <c r="C10" s="710" t="str">
        <f>$C$233</f>
        <v>MOSCOW MULE</v>
      </c>
      <c r="D10" s="710"/>
      <c r="E10" s="140" t="str">
        <f>$C$236</f>
        <v>M . Moscow mule . Avec alcool . All day . Verre Copper mug.On the rocks  couleur jaune pâle translucide  intensité *** frais épicé</v>
      </c>
      <c r="F10" s="140"/>
      <c r="G10" s="140"/>
      <c r="H10" s="140"/>
      <c r="I10" s="140"/>
      <c r="J10" s="140"/>
      <c r="K10" s="140"/>
      <c r="L10" s="140"/>
      <c r="M10" s="140"/>
      <c r="N10" s="3"/>
      <c r="O10" s="20" t="s">
        <v>42</v>
      </c>
      <c r="P10" s="3"/>
      <c r="Q10" s="29" t="s">
        <v>584</v>
      </c>
      <c r="R10" s="3"/>
      <c r="T10" s="3"/>
      <c r="U10" s="3"/>
      <c r="Z10" s="3"/>
      <c r="AA10" s="3"/>
      <c r="AB10" s="3"/>
      <c r="AC10" s="3"/>
      <c r="AD10" s="3"/>
      <c r="AE10" s="3"/>
      <c r="AF10" s="3"/>
      <c r="AU10" s="20" t="s">
        <v>42</v>
      </c>
      <c r="AV10" s="17" t="s">
        <v>21</v>
      </c>
      <c r="AW10" s="17">
        <v>250</v>
      </c>
      <c r="AX10" s="17" t="s">
        <v>22</v>
      </c>
      <c r="AY10" s="17" t="s">
        <v>20</v>
      </c>
      <c r="AZ10" s="143" t="s">
        <v>23</v>
      </c>
      <c r="BB10" s="144" t="s">
        <v>43</v>
      </c>
      <c r="BC10" s="145">
        <v>24</v>
      </c>
    </row>
    <row r="11" spans="1:55" ht="24.95" customHeight="1">
      <c r="B11" s="140"/>
      <c r="C11" s="710" t="str">
        <f>$C$269</f>
        <v>COSMOPOLITAN</v>
      </c>
      <c r="D11" s="710"/>
      <c r="E11" s="140" t="str">
        <f>$C$272</f>
        <v>C . Cosmopolitan . Avec alcool . All day . Verre Martini.Straight up  couleur rose framboise  intensité *** acidulé fruité</v>
      </c>
      <c r="F11" s="140"/>
      <c r="G11" s="140"/>
      <c r="H11" s="140"/>
      <c r="I11" s="140"/>
      <c r="J11" s="140"/>
      <c r="K11" s="140"/>
      <c r="L11" s="140"/>
      <c r="M11" s="140"/>
      <c r="N11" s="3"/>
      <c r="O11" s="20" t="s">
        <v>45</v>
      </c>
      <c r="P11" s="3"/>
      <c r="Q11" s="3"/>
      <c r="R11" s="3"/>
      <c r="S11" s="183"/>
      <c r="T11" s="3"/>
      <c r="U11" s="3"/>
      <c r="Z11" s="3"/>
      <c r="AA11" s="3"/>
      <c r="AB11" s="3"/>
      <c r="AC11" s="3"/>
      <c r="AD11" s="3"/>
      <c r="AE11" s="3"/>
      <c r="AF11" s="3"/>
      <c r="AU11" s="20" t="s">
        <v>45</v>
      </c>
      <c r="AV11" s="17" t="s">
        <v>21</v>
      </c>
      <c r="AW11" s="17">
        <v>333.33333299999998</v>
      </c>
      <c r="AX11" s="17" t="s">
        <v>22</v>
      </c>
      <c r="AY11" s="17" t="s">
        <v>20</v>
      </c>
      <c r="AZ11" s="143" t="s">
        <v>23</v>
      </c>
      <c r="BB11" s="144" t="s">
        <v>46</v>
      </c>
      <c r="BC11" s="145">
        <v>24</v>
      </c>
    </row>
    <row r="12" spans="1:55" ht="24.95" customHeight="1">
      <c r="B12" s="140"/>
      <c r="C12" s="710" t="str">
        <f>$C$305</f>
        <v>WHISKY SOUR</v>
      </c>
      <c r="D12" s="710"/>
      <c r="E12" s="140" t="str">
        <f>$C$308</f>
        <v>W . Whisky sour . Avec alcool . All day . Verre Tumbler (old fashioned).On the rocks  couleur ambré pâle  intensité *** acidulé boisé</v>
      </c>
      <c r="F12" s="140"/>
      <c r="G12" s="140"/>
      <c r="H12" s="140"/>
      <c r="I12" s="140"/>
      <c r="J12" s="140"/>
      <c r="K12" s="140"/>
      <c r="L12" s="140"/>
      <c r="M12" s="140"/>
      <c r="N12" s="3"/>
      <c r="O12" s="20" t="s">
        <v>48</v>
      </c>
      <c r="P12" s="3"/>
      <c r="Q12" s="356" t="s">
        <v>72</v>
      </c>
      <c r="R12" s="3"/>
      <c r="T12" s="3"/>
      <c r="U12" s="3"/>
      <c r="V12" s="863" t="s">
        <v>7409</v>
      </c>
      <c r="W12" s="863"/>
      <c r="X12" s="863"/>
      <c r="Y12" s="863"/>
      <c r="Z12" s="863"/>
      <c r="AA12" s="863"/>
      <c r="AB12" s="863"/>
      <c r="AC12" s="863"/>
      <c r="AD12" s="863"/>
      <c r="AE12" s="863"/>
      <c r="AF12" s="863"/>
      <c r="AU12" s="20" t="s">
        <v>48</v>
      </c>
      <c r="AV12" s="17" t="s">
        <v>21</v>
      </c>
      <c r="AW12" s="17">
        <v>666.66666699999996</v>
      </c>
      <c r="AX12" s="17" t="s">
        <v>22</v>
      </c>
      <c r="AY12" s="17" t="s">
        <v>20</v>
      </c>
      <c r="AZ12" s="143" t="s">
        <v>23</v>
      </c>
      <c r="BB12" s="144" t="s">
        <v>49</v>
      </c>
      <c r="BC12" s="145">
        <v>18</v>
      </c>
    </row>
    <row r="13" spans="1:55" ht="24.95" customHeight="1">
      <c r="B13" s="140"/>
      <c r="C13" s="710" t="str">
        <f>$C$341</f>
        <v>VIRGIN MOJITO</v>
      </c>
      <c r="D13" s="710"/>
      <c r="E13" s="140" t="str">
        <f>$C$344</f>
        <v>V . Virgin mojito . Sans alcool . All day . Verre Highball.On the rocks  couleur vert pâle translucide  intensité ** frais acidulé</v>
      </c>
      <c r="F13" s="140"/>
      <c r="G13" s="140"/>
      <c r="H13" s="140"/>
      <c r="I13" s="140"/>
      <c r="J13" s="140"/>
      <c r="K13" s="140"/>
      <c r="L13" s="140"/>
      <c r="M13" s="140"/>
      <c r="N13" s="3"/>
      <c r="O13" s="20" t="s">
        <v>50</v>
      </c>
      <c r="P13" s="3"/>
      <c r="Q13" s="356" t="s">
        <v>602</v>
      </c>
      <c r="R13" s="3"/>
      <c r="S13" s="3"/>
      <c r="T13" s="3"/>
      <c r="U13" s="3"/>
      <c r="V13" s="863"/>
      <c r="W13" s="863"/>
      <c r="X13" s="863"/>
      <c r="Y13" s="863"/>
      <c r="Z13" s="863"/>
      <c r="AA13" s="863"/>
      <c r="AB13" s="863"/>
      <c r="AC13" s="863"/>
      <c r="AD13" s="863"/>
      <c r="AE13" s="863"/>
      <c r="AF13" s="863"/>
      <c r="AU13" s="20" t="s">
        <v>50</v>
      </c>
      <c r="AV13" s="17" t="s">
        <v>21</v>
      </c>
      <c r="AW13" s="17">
        <v>125</v>
      </c>
      <c r="AX13" s="17" t="s">
        <v>22</v>
      </c>
      <c r="AY13" s="17" t="s">
        <v>20</v>
      </c>
      <c r="AZ13" s="143" t="s">
        <v>23</v>
      </c>
      <c r="BB13" s="144" t="s">
        <v>51</v>
      </c>
      <c r="BC13" s="145">
        <v>12</v>
      </c>
    </row>
    <row r="14" spans="1:55" ht="24.95" customHeight="1">
      <c r="B14" s="216" t="s">
        <v>7266</v>
      </c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3"/>
      <c r="O14" s="20" t="s">
        <v>52</v>
      </c>
      <c r="P14" s="3"/>
      <c r="Q14" s="356" t="s">
        <v>609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U14" s="20" t="s">
        <v>52</v>
      </c>
      <c r="AV14" s="17" t="s">
        <v>21</v>
      </c>
      <c r="AW14" s="17">
        <v>125</v>
      </c>
      <c r="AX14" s="17" t="s">
        <v>22</v>
      </c>
      <c r="AY14" s="17" t="s">
        <v>20</v>
      </c>
      <c r="AZ14" s="143" t="s">
        <v>23</v>
      </c>
      <c r="BB14" s="144" t="s">
        <v>53</v>
      </c>
      <c r="BC14" s="145">
        <v>12</v>
      </c>
    </row>
    <row r="15" spans="1:55" ht="27.95" customHeight="1">
      <c r="B15" s="147"/>
      <c r="C15" s="147" t="str">
        <f>"colonne "&amp;SUBSTITUTE(ADDRESS(1,COLUMN(),4),"1","")&amp;"  ▼ "</f>
        <v xml:space="preserve">colonne C  ▼ </v>
      </c>
      <c r="D15" s="147"/>
      <c r="E15" s="147"/>
      <c r="F15" s="147" t="str">
        <f>"colonne "&amp;SUBSTITUTE(ADDRESS(1,COLUMN(),4),"1","")&amp;"  ▼ "</f>
        <v xml:space="preserve">colonne F  ▼ </v>
      </c>
      <c r="G15" s="147"/>
      <c r="H15" s="147"/>
      <c r="I15" s="147" t="str">
        <f>"colonne "&amp;SUBSTITUTE(ADDRESS(1,COLUMN(),4),"1","")&amp;"  ▼ "</f>
        <v xml:space="preserve">colonne I  ▼ </v>
      </c>
      <c r="J15" s="147" t="str">
        <f>"colonne "&amp;SUBSTITUTE(ADDRESS(1,COLUMN(),4),"1","")&amp;"  ▼ "</f>
        <v xml:space="preserve">colonne J  ▼ </v>
      </c>
      <c r="K15" s="147"/>
      <c r="L15" s="147" t="str">
        <f>"colonne "&amp;SUBSTITUTE(ADDRESS(1,COLUMN(),4),"1","")&amp;"  ▼ "</f>
        <v xml:space="preserve">colonne L  ▼ </v>
      </c>
      <c r="M15" s="147"/>
      <c r="N15" s="3"/>
      <c r="O15" s="21" t="s">
        <v>54</v>
      </c>
      <c r="P15" s="3"/>
      <c r="AU15" s="21" t="s">
        <v>54</v>
      </c>
      <c r="AV15" s="17" t="s">
        <v>55</v>
      </c>
      <c r="AW15" s="17">
        <v>1000</v>
      </c>
      <c r="AX15" s="17" t="s">
        <v>56</v>
      </c>
      <c r="AY15" s="17" t="s">
        <v>54</v>
      </c>
      <c r="AZ15" s="148" t="s">
        <v>57</v>
      </c>
      <c r="BB15" s="144" t="s">
        <v>58</v>
      </c>
      <c r="BC15" s="145">
        <v>20</v>
      </c>
    </row>
    <row r="16" spans="1:55" ht="24.95" customHeight="1">
      <c r="A16" s="149" t="s">
        <v>59</v>
      </c>
      <c r="B16" s="755" t="s">
        <v>60</v>
      </c>
      <c r="C16" s="755"/>
      <c r="D16" s="755"/>
      <c r="E16" s="755"/>
      <c r="F16" s="755"/>
      <c r="G16" s="755"/>
      <c r="H16" s="755"/>
      <c r="I16" s="755"/>
      <c r="J16" s="755"/>
      <c r="K16" s="755"/>
      <c r="L16" s="755"/>
      <c r="M16" s="755"/>
      <c r="N16" s="3"/>
      <c r="O16" s="22" t="s">
        <v>56</v>
      </c>
      <c r="P16" s="3"/>
      <c r="Q16" s="10" t="s">
        <v>61</v>
      </c>
      <c r="R16" s="10"/>
      <c r="S16" s="10"/>
      <c r="T16" s="10"/>
      <c r="V16" s="861" t="s">
        <v>62</v>
      </c>
      <c r="W16" s="861"/>
      <c r="X16" s="861"/>
      <c r="Y16" s="23" t="s">
        <v>63</v>
      </c>
      <c r="Z16" s="24"/>
      <c r="AA16" s="24"/>
      <c r="AB16" s="24"/>
      <c r="AC16" s="24"/>
      <c r="AD16" s="24"/>
      <c r="AE16" s="24"/>
      <c r="AF16" s="24"/>
      <c r="AH16" s="25" t="s">
        <v>64</v>
      </c>
      <c r="AI16" s="25"/>
      <c r="AJ16" s="25" t="s">
        <v>65</v>
      </c>
      <c r="AK16" s="25"/>
      <c r="AL16" s="25"/>
      <c r="AM16" s="26"/>
      <c r="AN16" s="26"/>
      <c r="AO16" s="26"/>
      <c r="AP16" s="26"/>
      <c r="AQ16" s="26"/>
      <c r="AR16" s="26"/>
      <c r="AS16" s="26"/>
      <c r="AU16" s="22" t="s">
        <v>56</v>
      </c>
      <c r="AV16" s="17" t="s">
        <v>55</v>
      </c>
      <c r="AW16" s="17">
        <v>1</v>
      </c>
      <c r="AX16" s="17" t="s">
        <v>56</v>
      </c>
      <c r="AY16" s="17" t="s">
        <v>56</v>
      </c>
      <c r="AZ16" s="148" t="s">
        <v>57</v>
      </c>
      <c r="BB16" s="144" t="s">
        <v>66</v>
      </c>
      <c r="BC16" s="145">
        <v>40</v>
      </c>
    </row>
    <row r="17" spans="1:55" ht="24.95" customHeight="1">
      <c r="A17" s="757"/>
      <c r="B17" s="27" t="s">
        <v>67</v>
      </c>
      <c r="C17" s="28" t="s">
        <v>68</v>
      </c>
      <c r="D17" s="28"/>
      <c r="E17" s="27" t="s">
        <v>69</v>
      </c>
      <c r="F17" s="29" t="s">
        <v>70</v>
      </c>
      <c r="G17" s="30"/>
      <c r="H17" s="27" t="s">
        <v>71</v>
      </c>
      <c r="I17" s="31" t="s">
        <v>72</v>
      </c>
      <c r="J17" s="30"/>
      <c r="K17" s="27" t="s">
        <v>73</v>
      </c>
      <c r="L17" s="32" t="s">
        <v>74</v>
      </c>
      <c r="M17" s="33"/>
      <c r="N17" s="3"/>
      <c r="O17" s="34" t="s">
        <v>75</v>
      </c>
      <c r="P17" s="3"/>
      <c r="Q17" s="14" t="s">
        <v>27</v>
      </c>
      <c r="R17" s="35">
        <v>10</v>
      </c>
      <c r="S17" s="15" t="s">
        <v>76</v>
      </c>
      <c r="T17" s="15"/>
      <c r="V17" s="831" t="s">
        <v>77</v>
      </c>
      <c r="W17" s="862" t="str">
        <f>C17</f>
        <v>AMERICANO</v>
      </c>
      <c r="X17" s="862"/>
      <c r="Y17" s="862"/>
      <c r="Z17" s="36" t="s">
        <v>78</v>
      </c>
      <c r="AA17" s="24" t="str">
        <f>F17</f>
        <v>AVEC ALCOOL</v>
      </c>
      <c r="AB17" s="24"/>
      <c r="AC17" s="831" t="s">
        <v>71</v>
      </c>
      <c r="AD17" s="37" t="str">
        <f>I17</f>
        <v>BEFORE DINNER</v>
      </c>
      <c r="AE17" s="831" t="s">
        <v>73</v>
      </c>
      <c r="AF17" s="24" t="str">
        <f>L17</f>
        <v>ON THE ROCKS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U17" s="34" t="s">
        <v>75</v>
      </c>
      <c r="AV17" s="17" t="s">
        <v>55</v>
      </c>
      <c r="AW17" s="17">
        <v>250</v>
      </c>
      <c r="AX17" s="17" t="s">
        <v>56</v>
      </c>
      <c r="AY17" s="17" t="s">
        <v>54</v>
      </c>
      <c r="AZ17" s="148" t="s">
        <v>57</v>
      </c>
      <c r="BB17" s="144" t="s">
        <v>79</v>
      </c>
      <c r="BC17" s="145">
        <v>40</v>
      </c>
    </row>
    <row r="18" spans="1:55" ht="24.95" customHeight="1">
      <c r="A18" s="757"/>
      <c r="B18" s="27" t="s">
        <v>80</v>
      </c>
      <c r="C18" s="38" t="s">
        <v>81</v>
      </c>
      <c r="D18" s="30"/>
      <c r="E18" s="27" t="s">
        <v>82</v>
      </c>
      <c r="F18" s="39" t="s">
        <v>83</v>
      </c>
      <c r="G18" s="30"/>
      <c r="H18" s="27" t="s">
        <v>84</v>
      </c>
      <c r="I18" s="40">
        <v>1</v>
      </c>
      <c r="J18" s="41" t="s">
        <v>83</v>
      </c>
      <c r="K18" s="41"/>
      <c r="L18" s="42" t="s">
        <v>76</v>
      </c>
      <c r="M18" s="33"/>
      <c r="N18" s="3"/>
      <c r="O18" s="34" t="s">
        <v>85</v>
      </c>
      <c r="Q18" s="14" t="s">
        <v>31</v>
      </c>
      <c r="R18" s="35"/>
      <c r="S18" s="15" t="s">
        <v>86</v>
      </c>
      <c r="T18" s="15"/>
      <c r="V18" s="44" t="s">
        <v>87</v>
      </c>
      <c r="W18" s="150">
        <f>R22</f>
        <v>13.333333333333334</v>
      </c>
      <c r="X18" s="43" t="s">
        <v>88</v>
      </c>
      <c r="Y18" s="43"/>
      <c r="Z18" s="44" t="s">
        <v>89</v>
      </c>
      <c r="AA18" s="45">
        <f>R24</f>
        <v>1.625</v>
      </c>
      <c r="AB18" s="46" t="s">
        <v>90</v>
      </c>
      <c r="AC18" s="44" t="s">
        <v>91</v>
      </c>
      <c r="AD18" s="45">
        <f>R19</f>
        <v>10</v>
      </c>
      <c r="AE18" s="47" t="s">
        <v>92</v>
      </c>
      <c r="AF18" s="43" t="str">
        <f>R26</f>
        <v>NOMBRE DE COCKTAILS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U18" s="34" t="s">
        <v>85</v>
      </c>
      <c r="AV18" s="17" t="s">
        <v>55</v>
      </c>
      <c r="AW18" s="17">
        <v>333.33333299999998</v>
      </c>
      <c r="AX18" s="17" t="s">
        <v>56</v>
      </c>
      <c r="AY18" s="17" t="s">
        <v>54</v>
      </c>
      <c r="AZ18" s="148" t="s">
        <v>57</v>
      </c>
      <c r="BB18" s="144" t="s">
        <v>93</v>
      </c>
      <c r="BC18" s="145">
        <v>36</v>
      </c>
    </row>
    <row r="19" spans="1:55" ht="24.95" customHeight="1">
      <c r="A19" s="757"/>
      <c r="B19" s="27" t="s">
        <v>94</v>
      </c>
      <c r="C19" s="151" t="s">
        <v>95</v>
      </c>
      <c r="D19" s="30"/>
      <c r="E19" s="30"/>
      <c r="F19" s="30"/>
      <c r="G19" s="30"/>
      <c r="H19" s="27" t="s">
        <v>96</v>
      </c>
      <c r="I19" s="48">
        <v>15</v>
      </c>
      <c r="J19" s="152" t="s">
        <v>32</v>
      </c>
      <c r="K19" s="30"/>
      <c r="L19" s="30"/>
      <c r="M19" s="33"/>
      <c r="N19" s="3"/>
      <c r="O19" s="34" t="s">
        <v>97</v>
      </c>
      <c r="Q19" s="14" t="s">
        <v>98</v>
      </c>
      <c r="R19" s="49">
        <f>IF(AND(ISNUMBER(R18),R18&gt;0),IFERROR(R18*1000/R20,0),IF(AND(ISNUMBER(R17),R17&gt;0,ISNUMBER(I18),I18&gt;0),R17/I18,1))</f>
        <v>10</v>
      </c>
      <c r="S19" s="50" t="s">
        <v>99</v>
      </c>
      <c r="T19" s="50"/>
      <c r="V19" s="44" t="s">
        <v>100</v>
      </c>
      <c r="W19" s="51">
        <f>IF(R20="","",R20/10)</f>
        <v>15</v>
      </c>
      <c r="X19" s="46" t="s">
        <v>32</v>
      </c>
      <c r="Y19" s="43"/>
      <c r="Z19" s="44" t="s">
        <v>101</v>
      </c>
      <c r="AA19" s="45">
        <f>R21</f>
        <v>15</v>
      </c>
      <c r="AB19" s="46" t="s">
        <v>32</v>
      </c>
      <c r="AC19" s="44" t="s">
        <v>102</v>
      </c>
      <c r="AD19" s="45">
        <f>R25</f>
        <v>10</v>
      </c>
      <c r="AE19" s="51"/>
      <c r="AF19" s="4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U19" s="34" t="s">
        <v>97</v>
      </c>
      <c r="AV19" s="17" t="s">
        <v>55</v>
      </c>
      <c r="AW19" s="17">
        <v>500</v>
      </c>
      <c r="AX19" s="17" t="s">
        <v>56</v>
      </c>
      <c r="AY19" s="17" t="s">
        <v>54</v>
      </c>
      <c r="AZ19" s="148" t="s">
        <v>57</v>
      </c>
      <c r="BB19" s="144" t="s">
        <v>103</v>
      </c>
      <c r="BC19" s="145">
        <v>24</v>
      </c>
    </row>
    <row r="20" spans="1:55" ht="24.95" customHeight="1">
      <c r="A20" s="757"/>
      <c r="B20" s="27"/>
      <c r="C20" s="52" t="str">
        <f>UPPER(LEFT(C17,1)) &amp; " . " &amp; UPPER(LEFT(C17,1)) &amp; LOWER(MID(C17,2,999)) &amp; " . " &amp; UPPER(LEFT(F17,1)) &amp; LOWER(MID(F17,2,999)) &amp; " . " &amp; UPPER(LEFT(I17,1)) &amp; LOWER(MID(I17,2,999)) &amp; " . " &amp; "Verre " &amp; UPPER(LEFT(F18,1)) &amp; LOWER(MID(F18,2,999)) &amp; IF(LEFT(L17,1)=UPPER(LEFT(L17,1)),".","") &amp; UPPER(LEFT(L17,1)) &amp; LOWER(MID(L17,2,999))&amp;"  couleur"&amp;" "&amp;C18&amp;"  intensité"&amp;" "&amp;C19</f>
        <v>A . Americano . Avec alcool . Before dinner . Verre Tumbler (old fashioned).On the rocks  couleur rouge doux  intensité *** amer</v>
      </c>
      <c r="D20" s="52"/>
      <c r="E20" s="52"/>
      <c r="F20" s="52"/>
      <c r="G20" s="52"/>
      <c r="H20" s="52"/>
      <c r="I20" s="52"/>
      <c r="J20" s="52"/>
      <c r="K20" s="52"/>
      <c r="L20" s="30"/>
      <c r="M20" s="33"/>
      <c r="N20" s="3"/>
      <c r="O20" s="53" t="s">
        <v>104</v>
      </c>
      <c r="Q20" s="14" t="s">
        <v>105</v>
      </c>
      <c r="R20" s="49">
        <f>SUMIF(AJ27:AJ33,"VOLUME",AL27:AL33)</f>
        <v>150</v>
      </c>
      <c r="S20" s="50" t="s">
        <v>22</v>
      </c>
      <c r="T20" s="50"/>
      <c r="V20" s="44" t="s">
        <v>96</v>
      </c>
      <c r="W20" s="51">
        <f>I19</f>
        <v>15</v>
      </c>
      <c r="X20" s="46" t="str">
        <f>J19</f>
        <v>cl</v>
      </c>
      <c r="Y20" s="43"/>
      <c r="Z20" s="44" t="s">
        <v>82</v>
      </c>
      <c r="AA20" s="54" t="str">
        <f>F18</f>
        <v>Tumbler (Old Fashioned)</v>
      </c>
      <c r="AB20" s="43"/>
      <c r="AC20" s="44" t="s">
        <v>106</v>
      </c>
      <c r="AD20" s="45">
        <f>R27</f>
        <v>25</v>
      </c>
      <c r="AE20" s="46" t="s">
        <v>32</v>
      </c>
      <c r="AF20" s="4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U20" s="53" t="s">
        <v>104</v>
      </c>
      <c r="AV20" s="17" t="s">
        <v>21</v>
      </c>
      <c r="AW20" s="17">
        <v>5</v>
      </c>
      <c r="AX20" s="17" t="s">
        <v>22</v>
      </c>
      <c r="AY20" s="17" t="s">
        <v>107</v>
      </c>
      <c r="AZ20" s="153" t="s">
        <v>108</v>
      </c>
      <c r="BB20" s="144" t="s">
        <v>109</v>
      </c>
      <c r="BC20" s="145">
        <v>24</v>
      </c>
    </row>
    <row r="21" spans="1:55" ht="24.95" customHeight="1">
      <c r="A21" s="757"/>
      <c r="B21" s="27" t="s">
        <v>110</v>
      </c>
      <c r="C21" s="55" t="s">
        <v>111</v>
      </c>
      <c r="D21" s="55"/>
      <c r="E21" s="154"/>
      <c r="F21" s="154"/>
      <c r="G21" s="154"/>
      <c r="H21" s="154"/>
      <c r="I21" s="154"/>
      <c r="J21" s="154"/>
      <c r="K21" s="154"/>
      <c r="L21" s="30"/>
      <c r="M21" s="33"/>
      <c r="N21" s="3"/>
      <c r="O21" s="53" t="s">
        <v>112</v>
      </c>
      <c r="Q21" s="14" t="s">
        <v>113</v>
      </c>
      <c r="R21" s="49">
        <f>IF(OR(R20=0,NOT(ISNUMBER(I18)),I18&lt;=0),"",R20/I18/10)</f>
        <v>15</v>
      </c>
      <c r="S21" s="50" t="s">
        <v>32</v>
      </c>
      <c r="T21" s="50"/>
      <c r="V21" s="44" t="s">
        <v>114</v>
      </c>
      <c r="W21" s="51" t="str">
        <f>IF(I19="","",IF(R27="","⚠ À CONTRÔLER",IF(I19&lt;=R27,"✔ OK","❌ DÉPASSE CAPACITÉ")))</f>
        <v>✔ OK</v>
      </c>
      <c r="X21" s="43"/>
      <c r="Y21" s="43"/>
      <c r="Z21" s="44"/>
      <c r="AA21" s="56"/>
      <c r="AB21" s="43"/>
      <c r="AC21" s="43"/>
      <c r="AD21" s="46"/>
      <c r="AE21" s="46"/>
      <c r="AF21" s="4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U21" s="53" t="s">
        <v>112</v>
      </c>
      <c r="AV21" s="17" t="s">
        <v>21</v>
      </c>
      <c r="AW21" s="17">
        <v>5</v>
      </c>
      <c r="AX21" s="17" t="s">
        <v>22</v>
      </c>
      <c r="AY21" s="17" t="s">
        <v>115</v>
      </c>
      <c r="AZ21" s="153" t="s">
        <v>108</v>
      </c>
      <c r="BB21" s="144" t="s">
        <v>116</v>
      </c>
      <c r="BC21" s="145">
        <v>50</v>
      </c>
    </row>
    <row r="22" spans="1:55" ht="24.95" customHeight="1">
      <c r="A22" s="757"/>
      <c r="B22" s="30"/>
      <c r="C22" s="30"/>
      <c r="D22" s="30"/>
      <c r="E22" s="30"/>
      <c r="F22" s="30"/>
      <c r="G22" s="30"/>
      <c r="H22" s="206"/>
      <c r="I22" s="30"/>
      <c r="J22" s="30"/>
      <c r="K22" s="30"/>
      <c r="L22" s="30"/>
      <c r="M22" s="33"/>
      <c r="N22" s="3"/>
      <c r="O22" s="53" t="s">
        <v>117</v>
      </c>
      <c r="Q22" s="14" t="s">
        <v>118</v>
      </c>
      <c r="R22" s="155">
        <f>IF(AN34=0,"",SUM(AQ27:AQ33)/AN34*100)</f>
        <v>13.333333333333334</v>
      </c>
      <c r="S22" s="50" t="s">
        <v>88</v>
      </c>
      <c r="T22" s="50"/>
      <c r="V22" s="44" t="s">
        <v>110</v>
      </c>
      <c r="W22" s="46" t="str">
        <f>C21</f>
        <v>Apéritif classique à base de vermouth et de Bitter</v>
      </c>
      <c r="X22" s="43"/>
      <c r="Y22" s="43"/>
      <c r="Z22" s="44"/>
      <c r="AA22" s="56"/>
      <c r="AB22" s="43"/>
      <c r="AC22" s="43"/>
      <c r="AD22" s="46"/>
      <c r="AE22" s="46"/>
      <c r="AF22" s="4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U22" s="53" t="s">
        <v>117</v>
      </c>
      <c r="AV22" s="17" t="s">
        <v>21</v>
      </c>
      <c r="AW22" s="17">
        <v>15</v>
      </c>
      <c r="AX22" s="17" t="s">
        <v>22</v>
      </c>
      <c r="AY22" s="17" t="s">
        <v>119</v>
      </c>
      <c r="AZ22" s="153" t="s">
        <v>108</v>
      </c>
      <c r="BB22" s="144" t="s">
        <v>120</v>
      </c>
      <c r="BC22" s="145">
        <v>50</v>
      </c>
    </row>
    <row r="23" spans="1:55" ht="24.95" customHeight="1">
      <c r="A23" s="757"/>
      <c r="B23" s="57" t="s">
        <v>121</v>
      </c>
      <c r="C23" s="58" t="s">
        <v>122</v>
      </c>
      <c r="D23" s="58"/>
      <c r="E23" s="59"/>
      <c r="F23" s="57" t="s">
        <v>123</v>
      </c>
      <c r="G23" s="58" t="s">
        <v>124</v>
      </c>
      <c r="H23" s="60"/>
      <c r="I23" s="60"/>
      <c r="J23" s="61"/>
      <c r="K23" s="61"/>
      <c r="L23" s="61"/>
      <c r="M23" s="62"/>
      <c r="N23" s="3"/>
      <c r="O23" s="53" t="s">
        <v>125</v>
      </c>
      <c r="Q23" s="14" t="s">
        <v>126</v>
      </c>
      <c r="R23" s="156">
        <f>SUM(AR27:AR33)</f>
        <v>16.25</v>
      </c>
      <c r="S23" s="50" t="s">
        <v>90</v>
      </c>
      <c r="T23" s="50"/>
      <c r="V23" s="44" t="s">
        <v>121</v>
      </c>
      <c r="W23" s="46" t="str">
        <f>C23</f>
        <v>Destination Cocktails</v>
      </c>
      <c r="X23" s="43"/>
      <c r="Y23" s="43"/>
      <c r="Z23" s="44" t="s">
        <v>94</v>
      </c>
      <c r="AA23" s="54" t="str">
        <f>C19</f>
        <v>*** amer</v>
      </c>
      <c r="AB23" s="43"/>
      <c r="AC23" s="759" t="str">
        <f>UPPER(LEFT(C17,1))&amp;" . "&amp;UPPER(LEFT(C17,1))&amp;LOWER(MID(C17,2,999))&amp;" . "&amp;UPPER(LEFT(F17,1))&amp;LOWER(MID(F17,2,999))&amp;" . "&amp;UPPER(LEFT(I17,1))&amp;LOWER(MID(I17,2,999))&amp;" . "&amp;"Verre "&amp;UPPER(LEFT(F18,1))&amp;LOWER(MID(F18,2,999))&amp;IF(LEFT(L17,1)=UPPER(LEFT(L17,1)),".","")&amp;UPPER(LEFT(L17,1))&amp;LOWER(MID(L17,2,999))&amp;"  couleur "&amp;C18&amp;"  intensité "&amp;C19</f>
        <v>A . Americano . Avec alcool . Before dinner . Verre Tumbler (old fashioned).On the rocks  couleur rouge doux  intensité *** amer</v>
      </c>
      <c r="AD23" s="759"/>
      <c r="AE23" s="759"/>
      <c r="AF23" s="759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U23" s="53" t="s">
        <v>488</v>
      </c>
      <c r="AV23" s="17" t="s">
        <v>127</v>
      </c>
      <c r="AW23" s="17">
        <v>1</v>
      </c>
      <c r="AX23" s="17" t="s">
        <v>128</v>
      </c>
      <c r="AY23" s="17" t="s">
        <v>489</v>
      </c>
      <c r="AZ23" s="153" t="s">
        <v>139</v>
      </c>
      <c r="BB23" s="144" t="s">
        <v>130</v>
      </c>
      <c r="BC23" s="145">
        <v>21.5</v>
      </c>
    </row>
    <row r="24" spans="1:55" ht="24.95" customHeight="1">
      <c r="A24" s="757"/>
      <c r="B24" s="10" t="s">
        <v>131</v>
      </c>
      <c r="C24" s="10" t="s">
        <v>132</v>
      </c>
      <c r="D24" s="10"/>
      <c r="E24" s="10"/>
      <c r="F24" s="10"/>
      <c r="G24" s="10"/>
      <c r="H24" s="10"/>
      <c r="I24" s="10"/>
      <c r="J24" s="11" t="str">
        <f>IF(COUNTIF(C26:C32,"*~**")+COUNTIF(C26:C32,"*~?*")=0,"",IF(COUNTIF(C26:C32,"*~**")&gt;0,COUNTIF(C26:C32,"*~**")&amp;" allergène"&amp;IF(COUNTIF(C26:C32,"*~**")&gt;1,"s","")&amp;" repéré"&amp;IF(COUNTIF(C26:C32,"*~**")&gt;1,"s","")&amp;" par *","")&amp;IF(AND(COUNTIF(C26:C32,"*~**")&gt;0,COUNTIF(C26:C32,"*~?*")&gt;0)," | ","")&amp;IF(COUNTIF(C26:C32,"*~?*")&gt;0,COUNTIF(C26:C32,"*~?*")&amp;" produit"&amp;IF(COUNTIF(C26:C32,"*~?*")&gt;1,"s","")&amp;" à vérifier par ?",""))</f>
        <v/>
      </c>
      <c r="K24" s="10"/>
      <c r="L24" s="10"/>
      <c r="M24" s="63"/>
      <c r="N24" s="3"/>
      <c r="O24" s="53" t="s">
        <v>133</v>
      </c>
      <c r="Q24" s="14" t="s">
        <v>134</v>
      </c>
      <c r="R24" s="156">
        <f>IF(OR(R23="",R25="",R25=0),"",R23/R25)</f>
        <v>1.625</v>
      </c>
      <c r="S24" s="50" t="s">
        <v>135</v>
      </c>
      <c r="T24" s="50"/>
      <c r="V24" s="852" t="s">
        <v>136</v>
      </c>
      <c r="W24" s="853">
        <f>R23</f>
        <v>16.25</v>
      </c>
      <c r="X24" s="854" t="s">
        <v>90</v>
      </c>
      <c r="Y24" s="43"/>
      <c r="Z24" s="44" t="s">
        <v>137</v>
      </c>
      <c r="AA24" s="54" t="str">
        <f>C17</f>
        <v>AMERICANO</v>
      </c>
      <c r="AB24" s="43"/>
      <c r="AC24" s="759"/>
      <c r="AD24" s="759"/>
      <c r="AE24" s="759"/>
      <c r="AF24" s="759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U24" s="53" t="s">
        <v>133</v>
      </c>
      <c r="AV24" s="17" t="s">
        <v>127</v>
      </c>
      <c r="AW24" s="17">
        <v>1</v>
      </c>
      <c r="AX24" s="17" t="s">
        <v>128</v>
      </c>
      <c r="AY24" s="17" t="s">
        <v>138</v>
      </c>
      <c r="AZ24" s="157" t="s">
        <v>139</v>
      </c>
      <c r="BB24" s="144" t="s">
        <v>140</v>
      </c>
      <c r="BC24" s="145">
        <v>20</v>
      </c>
    </row>
    <row r="25" spans="1:55" ht="24.95" customHeight="1">
      <c r="A25" s="757"/>
      <c r="B25" s="66">
        <v>0</v>
      </c>
      <c r="C25" s="64" t="s">
        <v>141</v>
      </c>
      <c r="D25" s="65" t="s">
        <v>142</v>
      </c>
      <c r="E25" s="64" t="s">
        <v>9</v>
      </c>
      <c r="F25" s="66" t="s">
        <v>143</v>
      </c>
      <c r="G25" s="66" t="s">
        <v>144</v>
      </c>
      <c r="H25" s="66" t="s">
        <v>145</v>
      </c>
      <c r="I25" s="67" t="s">
        <v>146</v>
      </c>
      <c r="J25" s="67" t="s">
        <v>847</v>
      </c>
      <c r="K25" s="67" t="s">
        <v>148</v>
      </c>
      <c r="L25" s="67" t="s">
        <v>149</v>
      </c>
      <c r="M25" s="68" t="s">
        <v>150</v>
      </c>
      <c r="N25" s="3"/>
      <c r="O25" s="53" t="s">
        <v>151</v>
      </c>
      <c r="Q25" s="14" t="s">
        <v>152</v>
      </c>
      <c r="R25" s="49">
        <f>IF(AND(ISNUMBER(R18),R18&gt;0,ISNUMBER(I19),I19&gt;0),R18*1000/(I19*10),IF(AND(ISNUMBER(R17),R17&gt;0),R17,""))</f>
        <v>10</v>
      </c>
      <c r="S25" s="50" t="s">
        <v>76</v>
      </c>
      <c r="T25" s="50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H25" s="25" t="s">
        <v>153</v>
      </c>
      <c r="AI25" s="25"/>
      <c r="AJ25" s="25" t="s">
        <v>490</v>
      </c>
      <c r="AK25" s="25"/>
      <c r="AL25" s="25"/>
      <c r="AM25" s="25"/>
      <c r="AN25" s="26"/>
      <c r="AO25" s="26"/>
      <c r="AP25" s="26"/>
      <c r="AQ25" s="26"/>
      <c r="AR25" s="26"/>
      <c r="AS25" s="26"/>
      <c r="AU25" s="53" t="s">
        <v>151</v>
      </c>
      <c r="AV25" s="17" t="s">
        <v>127</v>
      </c>
      <c r="AW25" s="17">
        <v>1</v>
      </c>
      <c r="AX25" s="17" t="s">
        <v>128</v>
      </c>
      <c r="AY25" s="17" t="s">
        <v>138</v>
      </c>
      <c r="AZ25" s="157" t="s">
        <v>139</v>
      </c>
      <c r="BB25" s="144" t="s">
        <v>154</v>
      </c>
      <c r="BC25" s="145">
        <v>18</v>
      </c>
    </row>
    <row r="26" spans="1:55" ht="24.95" customHeight="1">
      <c r="A26" s="757"/>
      <c r="B26" s="158">
        <v>1</v>
      </c>
      <c r="C26" s="70" t="s">
        <v>155</v>
      </c>
      <c r="D26" s="71">
        <v>5</v>
      </c>
      <c r="E26" s="18" t="s">
        <v>32</v>
      </c>
      <c r="F26" s="72">
        <v>25</v>
      </c>
      <c r="G26" s="159">
        <v>1.05</v>
      </c>
      <c r="H26" s="160" t="s">
        <v>156</v>
      </c>
      <c r="I26" s="161">
        <v>18</v>
      </c>
      <c r="J26" s="73" t="s">
        <v>849</v>
      </c>
      <c r="K26" s="73"/>
      <c r="L26" s="73"/>
      <c r="M26" s="74"/>
      <c r="N26" s="3"/>
      <c r="O26" s="53" t="s">
        <v>157</v>
      </c>
      <c r="Q26" s="14" t="s">
        <v>158</v>
      </c>
      <c r="R26" s="75" t="str">
        <f>IF(AND(ISNUMBER(R18),R18&gt;0),"VOLUME TOTAL",IF(AND(ISNUMBER(R17),R17&gt;0),"NOMBRE DE COCKTAILS","RÉFÉRENCE"))</f>
        <v>NOMBRE DE COCKTAILS</v>
      </c>
      <c r="S26" s="50"/>
      <c r="T26" s="50"/>
      <c r="V26" s="831" t="s">
        <v>159</v>
      </c>
      <c r="W26" s="36" t="s">
        <v>160</v>
      </c>
      <c r="X26" s="76" t="s">
        <v>161</v>
      </c>
      <c r="Y26" s="835" t="s">
        <v>162</v>
      </c>
      <c r="Z26" s="838" t="s">
        <v>163</v>
      </c>
      <c r="AA26" s="36" t="s">
        <v>164</v>
      </c>
      <c r="AB26" s="36" t="s">
        <v>9</v>
      </c>
      <c r="AC26" s="841" t="s">
        <v>165</v>
      </c>
      <c r="AD26" s="296" t="s">
        <v>166</v>
      </c>
      <c r="AE26" s="36" t="s">
        <v>146</v>
      </c>
      <c r="AF26" s="833" t="s">
        <v>167</v>
      </c>
      <c r="AH26" s="77" t="s">
        <v>168</v>
      </c>
      <c r="AI26" s="78" t="s">
        <v>159</v>
      </c>
      <c r="AJ26" s="77" t="s">
        <v>10</v>
      </c>
      <c r="AK26" s="77" t="s">
        <v>169</v>
      </c>
      <c r="AL26" s="77" t="s">
        <v>170</v>
      </c>
      <c r="AM26" s="77" t="s">
        <v>91</v>
      </c>
      <c r="AN26" s="78" t="s">
        <v>161</v>
      </c>
      <c r="AO26" s="77" t="s">
        <v>171</v>
      </c>
      <c r="AP26" s="77" t="s">
        <v>172</v>
      </c>
      <c r="AQ26" s="77" t="s">
        <v>165</v>
      </c>
      <c r="AR26" s="77" t="s">
        <v>167</v>
      </c>
      <c r="AS26" s="77" t="s">
        <v>173</v>
      </c>
      <c r="AU26" s="53" t="s">
        <v>157</v>
      </c>
      <c r="AV26" s="17" t="s">
        <v>127</v>
      </c>
      <c r="AW26" s="17">
        <v>1</v>
      </c>
      <c r="AX26" s="17" t="s">
        <v>128</v>
      </c>
      <c r="AY26" s="17" t="s">
        <v>174</v>
      </c>
      <c r="AZ26" s="157" t="s">
        <v>139</v>
      </c>
      <c r="BB26" s="144" t="s">
        <v>175</v>
      </c>
      <c r="BC26" s="145">
        <v>35</v>
      </c>
    </row>
    <row r="27" spans="1:55" ht="24.95" customHeight="1">
      <c r="A27" s="757"/>
      <c r="B27" s="162">
        <v>2</v>
      </c>
      <c r="C27" s="70" t="s">
        <v>176</v>
      </c>
      <c r="D27" s="79">
        <v>5</v>
      </c>
      <c r="E27" s="18" t="s">
        <v>32</v>
      </c>
      <c r="F27" s="72">
        <v>15</v>
      </c>
      <c r="G27" s="159">
        <v>1.02</v>
      </c>
      <c r="H27" s="160" t="s">
        <v>156</v>
      </c>
      <c r="I27" s="161">
        <v>9</v>
      </c>
      <c r="J27" s="73"/>
      <c r="K27" s="73"/>
      <c r="L27" s="73"/>
      <c r="M27" s="74"/>
      <c r="N27" s="3"/>
      <c r="O27" s="53" t="s">
        <v>177</v>
      </c>
      <c r="Q27" s="14" t="s">
        <v>35</v>
      </c>
      <c r="R27" s="35">
        <f>IFERROR(VLOOKUP(F18,$BB$5:$BC$40,2,FALSE),"")</f>
        <v>25</v>
      </c>
      <c r="S27" s="50" t="s">
        <v>32</v>
      </c>
      <c r="T27" s="50"/>
      <c r="V27" s="846" t="str">
        <f t="shared" ref="V27:V33" si="0">IF(AI27="","",AI27)</f>
        <v>Bitter Campari</v>
      </c>
      <c r="W27" s="848" t="str">
        <f t="shared" ref="W27:W33" si="1">IF(C26="","",IF(H26="QS","QS",D26&amp;" "&amp;E26))</f>
        <v>5 cl</v>
      </c>
      <c r="X27" s="81">
        <f t="shared" ref="X27:X33" si="2">IF(AN27="","",AN27)</f>
        <v>500</v>
      </c>
      <c r="Y27" s="836" t="str">
        <f t="shared" ref="Y27:Y33" si="3">IF(C26="","",IF(H26="QS","Qt. suffisante",IF(AN27="","",IF(AJ27="VOLUME",IF(AN27&gt;=1000,TEXT(AO27,"0.00")&amp;" "&amp;AP27,IF(AN27&gt;=10,TEXT(AO27,"0.0")&amp;" "&amp;AP27&amp;" ► "&amp;TEXT(AN27/1000,"0.000")&amp;" L",TEXT(AO27,"0.0")&amp;" "&amp;AP27)),IF(AJ27="MASSE",TEXT(AO27,"0.00")&amp;" "&amp;AP27,AO27&amp;" "&amp;AP27)))))</f>
        <v>50.0 cl ► 0.500 L</v>
      </c>
      <c r="Z27" s="839" t="str">
        <f>IF(OR(C26="",AJ27&lt;&gt;"VOLUME",AN34=0),"","≈ "&amp;TEXT(ROUND(AN27/AN34*10*2,0)/2,"0.0")&amp;"/10")</f>
        <v>≈ 3.5/10</v>
      </c>
      <c r="AA27" s="82" t="str">
        <f t="shared" ref="AA27:AA33" si="4">IF(AJ27="AUTRE",AO27,"")</f>
        <v/>
      </c>
      <c r="AB27" s="83" t="str">
        <f t="shared" ref="AB27:AB33" si="5">IF(C26="","",AP27)</f>
        <v>cl</v>
      </c>
      <c r="AC27" s="842">
        <f t="shared" ref="AC27:AC33" si="6">IF(C26="","",AQ27)</f>
        <v>125</v>
      </c>
      <c r="AD27" s="163">
        <f t="shared" ref="AD27:AD33" si="7">IF(C26="","",IF(ISNUMBER(F26),F26,0))</f>
        <v>25</v>
      </c>
      <c r="AE27" s="164">
        <f t="shared" ref="AE27:AE33" si="8">IF(C26="","",IF(ISNUMBER(I26),I26,""))</f>
        <v>18</v>
      </c>
      <c r="AF27" s="855">
        <f t="shared" ref="AF27:AF33" si="9">IF(C26="","",AR27)</f>
        <v>9</v>
      </c>
      <c r="AH27" s="84">
        <f t="shared" ref="AH27:AH33" si="10">IF(C26="","",B26)</f>
        <v>1</v>
      </c>
      <c r="AI27" s="85" t="str">
        <f t="shared" ref="AI27:AI33" si="11">IF(C26="","",C26)</f>
        <v>Bitter Campari</v>
      </c>
      <c r="AJ27" s="84" t="str">
        <f t="shared" ref="AJ27:AJ33" si="12">IF(C26="","",IFERROR(VLOOKUP(E26,$AU$5:$AY$121,2,FALSE),"UNITÉ ?"))</f>
        <v>VOLUME</v>
      </c>
      <c r="AK27" s="84">
        <f t="shared" ref="AK27:AK33" si="13">IF(C26="","",IFERROR(VLOOKUP(E26,$AU$5:$AY$121,3,FALSE),""))</f>
        <v>10</v>
      </c>
      <c r="AL27" s="84">
        <f t="shared" ref="AL27:AL33" si="14">IF(OR(C26="",H26="QS",NOT(ISNUMBER(D26))),"",D26*AK27)</f>
        <v>50</v>
      </c>
      <c r="AM27" s="84">
        <f>IF(C26="","",R19)</f>
        <v>10</v>
      </c>
      <c r="AN27" s="84">
        <f t="shared" ref="AN27:AN33" si="15">IF(C26="","",IF(H26="QS","",IF(AL27="","",IF(OR(H26="F",H26="FIXE"),AL27,AL27*AM27))))</f>
        <v>500</v>
      </c>
      <c r="AO27" s="84">
        <f t="shared" ref="AO27:AO33" si="16">IF(C26="","",IF(H26="QS","",IF(AN27="","",IF(AJ27="VOLUME",IF(AN27&gt;=1000,ROUND(AN27/1000,2),IF(AN27&gt;=10,ROUND(AN27/10,1),ROUND(AN27,1))),IF(AJ27="MASSE",IF(AN27&gt;=1000,ROUND(AN27/1000,2),ROUND(AN27,0)),ROUND(AN27,2))))))</f>
        <v>50</v>
      </c>
      <c r="AP27" s="84" t="str">
        <f t="shared" ref="AP27:AP33" si="17">IF(C26="","",IF(H26="QS","",IF(AN27="","",IF(AJ27="VOLUME",IF(AN27&gt;=1000,"L",IF(AN27&gt;=10,"cl","ml")),IF(AJ27="MASSE",IF(AN27&gt;=1000,"Kg","g"),IFERROR(VLOOKUP(E26,$AU$5:$AY$121,5,FALSE),E26))))))</f>
        <v>cl</v>
      </c>
      <c r="AQ27" s="84">
        <f t="shared" ref="AQ27:AQ33" si="18">IF(C26="","",IF(OR(AJ27&lt;&gt;"VOLUME",NOT(ISNUMBER(F26)),AN27=""),0,AN27*F26/100))</f>
        <v>125</v>
      </c>
      <c r="AR27" s="84">
        <f t="shared" ref="AR27:AR33" si="19">IF(C26="","",IF(H26="QS",0,IF(NOT(ISNUMBER(I26)),0,IF(OR(AJ27="VOLUME",AJ27="MASSE"),AN27/1000*I26,AN27*I26))))</f>
        <v>9</v>
      </c>
      <c r="AS27" s="84" t="str">
        <f t="shared" ref="AS27:AS33" si="20">IF(C26="","",IF(H26="QS","OK",IF(NOT(ISNUMBER(D26)),"QUANTITÉ ?",IF(E26="","UNITÉ ?",IF(AJ27="UNITÉ ?","UNITÉ ?",IF(AND(H26&lt;&gt;"",H26&lt;&gt;"PROP",H26&lt;&gt;"F",H26&lt;&gt;"FIXE",H26&lt;&gt;"QS"),"RÈGLE ?","OK"))))))</f>
        <v>OK</v>
      </c>
      <c r="AU27" s="53" t="s">
        <v>177</v>
      </c>
      <c r="AV27" s="17" t="s">
        <v>127</v>
      </c>
      <c r="AW27" s="17">
        <v>1</v>
      </c>
      <c r="AX27" s="17" t="s">
        <v>128</v>
      </c>
      <c r="AY27" s="17" t="s">
        <v>178</v>
      </c>
      <c r="AZ27" s="157" t="s">
        <v>139</v>
      </c>
      <c r="BB27" s="144" t="s">
        <v>179</v>
      </c>
      <c r="BC27" s="145">
        <v>15</v>
      </c>
    </row>
    <row r="28" spans="1:55" ht="24.95" customHeight="1">
      <c r="A28" s="757"/>
      <c r="B28" s="158">
        <v>3</v>
      </c>
      <c r="C28" s="70" t="s">
        <v>180</v>
      </c>
      <c r="D28" s="79">
        <v>5</v>
      </c>
      <c r="E28" s="18" t="s">
        <v>32</v>
      </c>
      <c r="F28" s="72">
        <v>0</v>
      </c>
      <c r="G28" s="159">
        <v>1</v>
      </c>
      <c r="H28" s="160" t="s">
        <v>156</v>
      </c>
      <c r="I28" s="161">
        <v>0.5</v>
      </c>
      <c r="J28" s="73"/>
      <c r="K28" s="73"/>
      <c r="L28" s="73"/>
      <c r="M28" s="74"/>
      <c r="N28" s="3"/>
      <c r="O28" s="53" t="s">
        <v>181</v>
      </c>
      <c r="V28" s="846" t="str">
        <f t="shared" si="0"/>
        <v>Vermouth italien</v>
      </c>
      <c r="W28" s="848" t="str">
        <f t="shared" si="1"/>
        <v>5 cl</v>
      </c>
      <c r="X28" s="81">
        <f t="shared" si="2"/>
        <v>500</v>
      </c>
      <c r="Y28" s="836" t="str">
        <f t="shared" si="3"/>
        <v>50.0 cl ► 0.500 L</v>
      </c>
      <c r="Z28" s="839" t="str">
        <f>IF(OR(C27="",AJ28&lt;&gt;"VOLUME",AN34=0),"","≈ "&amp;TEXT(ROUND(AN28/AN34*10*2,0)/2,"0.0")&amp;"/10")</f>
        <v>≈ 3.5/10</v>
      </c>
      <c r="AA28" s="82" t="str">
        <f t="shared" si="4"/>
        <v/>
      </c>
      <c r="AB28" s="83" t="str">
        <f t="shared" si="5"/>
        <v>cl</v>
      </c>
      <c r="AC28" s="842">
        <f t="shared" si="6"/>
        <v>75</v>
      </c>
      <c r="AD28" s="163">
        <f t="shared" si="7"/>
        <v>15</v>
      </c>
      <c r="AE28" s="164">
        <f t="shared" si="8"/>
        <v>9</v>
      </c>
      <c r="AF28" s="855">
        <f t="shared" si="9"/>
        <v>4.5</v>
      </c>
      <c r="AH28" s="84">
        <f t="shared" si="10"/>
        <v>2</v>
      </c>
      <c r="AI28" s="85" t="str">
        <f t="shared" si="11"/>
        <v>Vermouth italien</v>
      </c>
      <c r="AJ28" s="84" t="str">
        <f t="shared" si="12"/>
        <v>VOLUME</v>
      </c>
      <c r="AK28" s="84">
        <f t="shared" si="13"/>
        <v>10</v>
      </c>
      <c r="AL28" s="84">
        <f t="shared" si="14"/>
        <v>50</v>
      </c>
      <c r="AM28" s="84">
        <f>IF(C27="","",R19)</f>
        <v>10</v>
      </c>
      <c r="AN28" s="84">
        <f t="shared" si="15"/>
        <v>500</v>
      </c>
      <c r="AO28" s="84">
        <f t="shared" si="16"/>
        <v>50</v>
      </c>
      <c r="AP28" s="84" t="str">
        <f t="shared" si="17"/>
        <v>cl</v>
      </c>
      <c r="AQ28" s="84">
        <f t="shared" si="18"/>
        <v>75</v>
      </c>
      <c r="AR28" s="84">
        <f t="shared" si="19"/>
        <v>4.5</v>
      </c>
      <c r="AS28" s="84" t="str">
        <f t="shared" si="20"/>
        <v>OK</v>
      </c>
      <c r="AU28" s="53" t="s">
        <v>181</v>
      </c>
      <c r="AV28" s="17" t="s">
        <v>127</v>
      </c>
      <c r="AW28" s="17">
        <v>1</v>
      </c>
      <c r="AX28" s="17" t="s">
        <v>128</v>
      </c>
      <c r="AY28" s="17" t="s">
        <v>182</v>
      </c>
      <c r="AZ28" s="157" t="s">
        <v>139</v>
      </c>
      <c r="BB28" s="144" t="s">
        <v>183</v>
      </c>
      <c r="BC28" s="145">
        <v>57</v>
      </c>
    </row>
    <row r="29" spans="1:55" ht="24.95" customHeight="1">
      <c r="A29" s="757"/>
      <c r="B29" s="162">
        <v>4</v>
      </c>
      <c r="C29" s="70" t="s">
        <v>7408</v>
      </c>
      <c r="D29" s="79">
        <v>1</v>
      </c>
      <c r="E29" s="53" t="s">
        <v>184</v>
      </c>
      <c r="F29" s="72"/>
      <c r="G29" s="159">
        <v>1</v>
      </c>
      <c r="H29" s="160" t="s">
        <v>156</v>
      </c>
      <c r="I29" s="161">
        <v>0.25</v>
      </c>
      <c r="J29" s="73"/>
      <c r="K29" s="73"/>
      <c r="L29" s="73"/>
      <c r="M29" s="74"/>
      <c r="N29" s="3"/>
      <c r="O29" s="53" t="s">
        <v>185</v>
      </c>
      <c r="Q29" s="744" t="s">
        <v>566</v>
      </c>
      <c r="V29" s="846" t="str">
        <f t="shared" si="0"/>
        <v>Eau gazeuse</v>
      </c>
      <c r="W29" s="848" t="str">
        <f t="shared" si="1"/>
        <v>5 cl</v>
      </c>
      <c r="X29" s="81">
        <f t="shared" si="2"/>
        <v>500</v>
      </c>
      <c r="Y29" s="836" t="str">
        <f t="shared" si="3"/>
        <v>50.0 cl ► 0.500 L</v>
      </c>
      <c r="Z29" s="839" t="str">
        <f>IF(OR(C28="",AJ29&lt;&gt;"VOLUME",AN34=0),"","≈ "&amp;TEXT(ROUND(AN29/AN34*10*2,0)/2,"0.0")&amp;"/10")</f>
        <v>≈ 3.5/10</v>
      </c>
      <c r="AA29" s="82" t="str">
        <f t="shared" si="4"/>
        <v/>
      </c>
      <c r="AB29" s="83" t="str">
        <f t="shared" si="5"/>
        <v>cl</v>
      </c>
      <c r="AC29" s="842">
        <f t="shared" si="6"/>
        <v>0</v>
      </c>
      <c r="AD29" s="163">
        <f t="shared" si="7"/>
        <v>0</v>
      </c>
      <c r="AE29" s="164">
        <f t="shared" si="8"/>
        <v>0.5</v>
      </c>
      <c r="AF29" s="855">
        <f t="shared" si="9"/>
        <v>0.25</v>
      </c>
      <c r="AH29" s="84">
        <f t="shared" si="10"/>
        <v>3</v>
      </c>
      <c r="AI29" s="85" t="str">
        <f t="shared" si="11"/>
        <v>Eau gazeuse</v>
      </c>
      <c r="AJ29" s="84" t="str">
        <f t="shared" si="12"/>
        <v>VOLUME</v>
      </c>
      <c r="AK29" s="84">
        <f t="shared" si="13"/>
        <v>10</v>
      </c>
      <c r="AL29" s="84">
        <f t="shared" si="14"/>
        <v>50</v>
      </c>
      <c r="AM29" s="84">
        <f>IF(C28="","",R19)</f>
        <v>10</v>
      </c>
      <c r="AN29" s="84">
        <f t="shared" si="15"/>
        <v>500</v>
      </c>
      <c r="AO29" s="84">
        <f t="shared" si="16"/>
        <v>50</v>
      </c>
      <c r="AP29" s="84" t="str">
        <f t="shared" si="17"/>
        <v>cl</v>
      </c>
      <c r="AQ29" s="84">
        <f t="shared" si="18"/>
        <v>0</v>
      </c>
      <c r="AR29" s="84">
        <f t="shared" si="19"/>
        <v>0.25</v>
      </c>
      <c r="AS29" s="84" t="str">
        <f t="shared" si="20"/>
        <v>OK</v>
      </c>
      <c r="AU29" s="53" t="s">
        <v>185</v>
      </c>
      <c r="AV29" s="17" t="s">
        <v>127</v>
      </c>
      <c r="AW29" s="17">
        <v>1</v>
      </c>
      <c r="AX29" s="17" t="s">
        <v>128</v>
      </c>
      <c r="AY29" s="17" t="s">
        <v>186</v>
      </c>
      <c r="AZ29" s="157" t="s">
        <v>139</v>
      </c>
      <c r="BB29" s="144" t="s">
        <v>187</v>
      </c>
      <c r="BC29" s="145">
        <v>47</v>
      </c>
    </row>
    <row r="30" spans="1:55" ht="24.95" customHeight="1">
      <c r="A30" s="757"/>
      <c r="B30" s="158">
        <v>5</v>
      </c>
      <c r="C30" s="70" t="s">
        <v>188</v>
      </c>
      <c r="D30" s="79"/>
      <c r="E30" s="53" t="s">
        <v>151</v>
      </c>
      <c r="F30" s="72"/>
      <c r="G30" s="159">
        <v>1</v>
      </c>
      <c r="H30" s="160" t="s">
        <v>151</v>
      </c>
      <c r="I30" s="161">
        <v>0</v>
      </c>
      <c r="J30" s="73"/>
      <c r="K30" s="73"/>
      <c r="L30" s="73"/>
      <c r="M30" s="74"/>
      <c r="N30" s="3"/>
      <c r="O30" s="53" t="s">
        <v>189</v>
      </c>
      <c r="Q30" s="744"/>
      <c r="V30" s="846" t="str">
        <f t="shared" si="0"/>
        <v>Tranche d'orange</v>
      </c>
      <c r="W30" s="848" t="str">
        <f t="shared" si="1"/>
        <v>1 Tranche(s)</v>
      </c>
      <c r="X30" s="81">
        <f t="shared" si="2"/>
        <v>10</v>
      </c>
      <c r="Y30" s="836" t="str">
        <f t="shared" si="3"/>
        <v>10 tranche(s)</v>
      </c>
      <c r="Z30" s="839" t="str">
        <f>IF(OR(C29="",AJ30&lt;&gt;"VOLUME",AN34=0),"","≈ "&amp;TEXT(ROUND(AN30/AN34*10*2,0)/2,"0.0")&amp;"/10")</f>
        <v/>
      </c>
      <c r="AA30" s="82">
        <f t="shared" si="4"/>
        <v>10</v>
      </c>
      <c r="AB30" s="83" t="str">
        <f t="shared" si="5"/>
        <v>tranche(s)</v>
      </c>
      <c r="AC30" s="842">
        <f t="shared" si="6"/>
        <v>0</v>
      </c>
      <c r="AD30" s="163">
        <f t="shared" si="7"/>
        <v>0</v>
      </c>
      <c r="AE30" s="164">
        <f t="shared" si="8"/>
        <v>0.25</v>
      </c>
      <c r="AF30" s="855">
        <f t="shared" si="9"/>
        <v>2.5</v>
      </c>
      <c r="AH30" s="84">
        <f t="shared" si="10"/>
        <v>4</v>
      </c>
      <c r="AI30" s="85" t="str">
        <f t="shared" si="11"/>
        <v>Tranche d'orange</v>
      </c>
      <c r="AJ30" s="84" t="str">
        <f t="shared" si="12"/>
        <v>AUTRE</v>
      </c>
      <c r="AK30" s="84">
        <f t="shared" si="13"/>
        <v>1</v>
      </c>
      <c r="AL30" s="84">
        <f t="shared" si="14"/>
        <v>1</v>
      </c>
      <c r="AM30" s="84">
        <f>IF(C29="","",R19)</f>
        <v>10</v>
      </c>
      <c r="AN30" s="84">
        <f t="shared" si="15"/>
        <v>10</v>
      </c>
      <c r="AO30" s="84">
        <f t="shared" si="16"/>
        <v>10</v>
      </c>
      <c r="AP30" s="84" t="str">
        <f t="shared" si="17"/>
        <v>tranche(s)</v>
      </c>
      <c r="AQ30" s="84">
        <f t="shared" si="18"/>
        <v>0</v>
      </c>
      <c r="AR30" s="84">
        <f t="shared" si="19"/>
        <v>2.5</v>
      </c>
      <c r="AS30" s="84" t="str">
        <f t="shared" si="20"/>
        <v>OK</v>
      </c>
      <c r="AU30" s="53" t="s">
        <v>189</v>
      </c>
      <c r="AV30" s="17" t="s">
        <v>127</v>
      </c>
      <c r="AW30" s="17">
        <v>1</v>
      </c>
      <c r="AX30" s="17" t="s">
        <v>128</v>
      </c>
      <c r="AY30" s="17" t="s">
        <v>190</v>
      </c>
      <c r="AZ30" s="157" t="s">
        <v>139</v>
      </c>
      <c r="BB30" s="144" t="s">
        <v>191</v>
      </c>
      <c r="BC30" s="145">
        <v>40</v>
      </c>
    </row>
    <row r="31" spans="1:55" ht="24.95" customHeight="1">
      <c r="A31" s="757"/>
      <c r="B31" s="162"/>
      <c r="C31" s="70"/>
      <c r="D31" s="79"/>
      <c r="E31" s="3"/>
      <c r="F31" s="72"/>
      <c r="G31" s="159"/>
      <c r="H31" s="160"/>
      <c r="I31" s="161"/>
      <c r="J31" s="73"/>
      <c r="K31" s="73"/>
      <c r="L31" s="73"/>
      <c r="M31" s="74"/>
      <c r="N31" s="3"/>
      <c r="O31" s="53" t="s">
        <v>192</v>
      </c>
      <c r="V31" s="846" t="str">
        <f t="shared" si="0"/>
        <v>Glace</v>
      </c>
      <c r="W31" s="848" t="str">
        <f t="shared" si="1"/>
        <v>QS</v>
      </c>
      <c r="X31" s="81" t="str">
        <f t="shared" si="2"/>
        <v/>
      </c>
      <c r="Y31" s="836" t="str">
        <f t="shared" si="3"/>
        <v>Qt. suffisante</v>
      </c>
      <c r="Z31" s="839" t="str">
        <f>IF(OR(C30="",AJ31&lt;&gt;"VOLUME",AN34=0),"","≈ "&amp;TEXT(ROUND(AN31/AN34*10*2,0)/2,"0.0")&amp;"/10")</f>
        <v/>
      </c>
      <c r="AA31" s="80" t="str">
        <f t="shared" si="4"/>
        <v/>
      </c>
      <c r="AB31" s="83" t="str">
        <f t="shared" si="5"/>
        <v/>
      </c>
      <c r="AC31" s="842">
        <f t="shared" si="6"/>
        <v>0</v>
      </c>
      <c r="AD31" s="163">
        <f t="shared" si="7"/>
        <v>0</v>
      </c>
      <c r="AE31" s="164">
        <f t="shared" si="8"/>
        <v>0</v>
      </c>
      <c r="AF31" s="855">
        <f t="shared" si="9"/>
        <v>0</v>
      </c>
      <c r="AH31" s="84">
        <f t="shared" si="10"/>
        <v>5</v>
      </c>
      <c r="AI31" s="85" t="str">
        <f t="shared" si="11"/>
        <v>Glace</v>
      </c>
      <c r="AJ31" s="84" t="str">
        <f t="shared" si="12"/>
        <v>AUTRE</v>
      </c>
      <c r="AK31" s="84">
        <f t="shared" si="13"/>
        <v>1</v>
      </c>
      <c r="AL31" s="84" t="str">
        <f t="shared" si="14"/>
        <v/>
      </c>
      <c r="AM31" s="84">
        <f>IF(C30="","",R19)</f>
        <v>10</v>
      </c>
      <c r="AN31" s="84" t="str">
        <f t="shared" si="15"/>
        <v/>
      </c>
      <c r="AO31" s="84" t="str">
        <f t="shared" si="16"/>
        <v/>
      </c>
      <c r="AP31" s="84" t="str">
        <f t="shared" si="17"/>
        <v/>
      </c>
      <c r="AQ31" s="84">
        <f t="shared" si="18"/>
        <v>0</v>
      </c>
      <c r="AR31" s="84">
        <f t="shared" si="19"/>
        <v>0</v>
      </c>
      <c r="AS31" s="84" t="str">
        <f t="shared" si="20"/>
        <v>OK</v>
      </c>
      <c r="AU31" s="53" t="s">
        <v>192</v>
      </c>
      <c r="AV31" s="17" t="s">
        <v>127</v>
      </c>
      <c r="AW31" s="17">
        <v>1</v>
      </c>
      <c r="AX31" s="17" t="s">
        <v>128</v>
      </c>
      <c r="AY31" s="17" t="s">
        <v>193</v>
      </c>
      <c r="AZ31" s="157" t="s">
        <v>139</v>
      </c>
      <c r="BB31" s="144" t="s">
        <v>194</v>
      </c>
      <c r="BC31" s="145">
        <v>3</v>
      </c>
    </row>
    <row r="32" spans="1:55" ht="24.95" customHeight="1">
      <c r="A32" s="757"/>
      <c r="B32" s="158"/>
      <c r="C32" s="70"/>
      <c r="D32" s="79"/>
      <c r="E32" s="3"/>
      <c r="F32" s="72"/>
      <c r="G32" s="159"/>
      <c r="H32" s="160"/>
      <c r="I32" s="161"/>
      <c r="J32" s="73"/>
      <c r="K32" s="73"/>
      <c r="L32" s="73"/>
      <c r="M32" s="74"/>
      <c r="N32" s="3"/>
      <c r="O32" s="53" t="s">
        <v>195</v>
      </c>
      <c r="Q32" s="355" t="s">
        <v>558</v>
      </c>
      <c r="V32" s="847" t="str">
        <f t="shared" si="0"/>
        <v/>
      </c>
      <c r="W32" s="849" t="str">
        <f t="shared" si="1"/>
        <v/>
      </c>
      <c r="X32" s="86" t="str">
        <f t="shared" si="2"/>
        <v/>
      </c>
      <c r="Y32" s="837" t="str">
        <f t="shared" si="3"/>
        <v/>
      </c>
      <c r="Z32" s="840" t="str">
        <f>IF(OR(C31="",AJ32&lt;&gt;"VOLUME",AN34=0),"","≈ "&amp;TEXT(ROUND(AN32/AN34*10*2,0)/2,"0.0")&amp;"/10")</f>
        <v/>
      </c>
      <c r="AA32" s="87" t="str">
        <f t="shared" si="4"/>
        <v/>
      </c>
      <c r="AB32" s="88" t="str">
        <f t="shared" si="5"/>
        <v/>
      </c>
      <c r="AC32" s="843" t="str">
        <f t="shared" si="6"/>
        <v/>
      </c>
      <c r="AD32" s="88" t="str">
        <f t="shared" si="7"/>
        <v/>
      </c>
      <c r="AE32" s="88" t="str">
        <f t="shared" si="8"/>
        <v/>
      </c>
      <c r="AF32" s="834" t="str">
        <f t="shared" si="9"/>
        <v/>
      </c>
      <c r="AH32" s="84" t="str">
        <f t="shared" si="10"/>
        <v/>
      </c>
      <c r="AI32" s="85" t="str">
        <f t="shared" si="11"/>
        <v/>
      </c>
      <c r="AJ32" s="84" t="str">
        <f t="shared" si="12"/>
        <v/>
      </c>
      <c r="AK32" s="84" t="str">
        <f t="shared" si="13"/>
        <v/>
      </c>
      <c r="AL32" s="84" t="str">
        <f t="shared" si="14"/>
        <v/>
      </c>
      <c r="AM32" s="84" t="str">
        <f>IF(C31="","",R19)</f>
        <v/>
      </c>
      <c r="AN32" s="84" t="str">
        <f t="shared" si="15"/>
        <v/>
      </c>
      <c r="AO32" s="84" t="str">
        <f t="shared" si="16"/>
        <v/>
      </c>
      <c r="AP32" s="84" t="str">
        <f t="shared" si="17"/>
        <v/>
      </c>
      <c r="AQ32" s="84" t="str">
        <f t="shared" si="18"/>
        <v/>
      </c>
      <c r="AR32" s="84" t="str">
        <f t="shared" si="19"/>
        <v/>
      </c>
      <c r="AS32" s="84" t="str">
        <f t="shared" si="20"/>
        <v/>
      </c>
      <c r="AU32" s="53" t="s">
        <v>195</v>
      </c>
      <c r="AV32" s="17" t="s">
        <v>127</v>
      </c>
      <c r="AW32" s="17">
        <v>1</v>
      </c>
      <c r="AX32" s="17" t="s">
        <v>128</v>
      </c>
      <c r="AY32" s="17" t="s">
        <v>196</v>
      </c>
      <c r="AZ32" s="157" t="s">
        <v>139</v>
      </c>
      <c r="BB32" s="144" t="s">
        <v>197</v>
      </c>
      <c r="BC32" s="145">
        <v>4.5</v>
      </c>
    </row>
    <row r="33" spans="1:55" ht="24.95" customHeight="1">
      <c r="A33" s="757"/>
      <c r="B33" s="14" t="s">
        <v>44</v>
      </c>
      <c r="C33" s="146" t="s">
        <v>198</v>
      </c>
      <c r="D33" s="89"/>
      <c r="E33" s="89"/>
      <c r="F33" s="89"/>
      <c r="G33" s="89"/>
      <c r="H33" s="89"/>
      <c r="I33" s="89"/>
      <c r="J33" s="89"/>
      <c r="K33" s="89"/>
      <c r="L33" s="89"/>
      <c r="M33" s="90"/>
      <c r="N33" s="3"/>
      <c r="O33" s="53" t="s">
        <v>199</v>
      </c>
      <c r="Q33"/>
      <c r="V33" s="847" t="str">
        <f t="shared" si="0"/>
        <v/>
      </c>
      <c r="W33" s="849" t="str">
        <f t="shared" si="1"/>
        <v/>
      </c>
      <c r="X33" s="86" t="str">
        <f t="shared" si="2"/>
        <v/>
      </c>
      <c r="Y33" s="837" t="str">
        <f t="shared" si="3"/>
        <v/>
      </c>
      <c r="Z33" s="840" t="str">
        <f>IF(OR(C32="",AJ33&lt;&gt;"VOLUME",AN34=0),"","≈ "&amp;TEXT(ROUND(AN33/AN34*10*2,0)/2,"0.0")&amp;"/10")</f>
        <v/>
      </c>
      <c r="AA33" s="87" t="str">
        <f t="shared" si="4"/>
        <v/>
      </c>
      <c r="AB33" s="88" t="str">
        <f t="shared" si="5"/>
        <v/>
      </c>
      <c r="AC33" s="843" t="str">
        <f t="shared" si="6"/>
        <v/>
      </c>
      <c r="AD33" s="88" t="str">
        <f t="shared" si="7"/>
        <v/>
      </c>
      <c r="AE33" s="88" t="str">
        <f t="shared" si="8"/>
        <v/>
      </c>
      <c r="AF33" s="834" t="str">
        <f t="shared" si="9"/>
        <v/>
      </c>
      <c r="AH33" s="84" t="str">
        <f t="shared" si="10"/>
        <v/>
      </c>
      <c r="AI33" s="85" t="str">
        <f t="shared" si="11"/>
        <v/>
      </c>
      <c r="AJ33" s="84" t="str">
        <f t="shared" si="12"/>
        <v/>
      </c>
      <c r="AK33" s="84" t="str">
        <f t="shared" si="13"/>
        <v/>
      </c>
      <c r="AL33" s="84" t="str">
        <f t="shared" si="14"/>
        <v/>
      </c>
      <c r="AM33" s="84" t="str">
        <f>IF(C32="","",R19)</f>
        <v/>
      </c>
      <c r="AN33" s="84" t="str">
        <f t="shared" si="15"/>
        <v/>
      </c>
      <c r="AO33" s="84" t="str">
        <f t="shared" si="16"/>
        <v/>
      </c>
      <c r="AP33" s="84" t="str">
        <f t="shared" si="17"/>
        <v/>
      </c>
      <c r="AQ33" s="84" t="str">
        <f t="shared" si="18"/>
        <v/>
      </c>
      <c r="AR33" s="84" t="str">
        <f t="shared" si="19"/>
        <v/>
      </c>
      <c r="AS33" s="84" t="str">
        <f t="shared" si="20"/>
        <v/>
      </c>
      <c r="AU33" s="53" t="s">
        <v>199</v>
      </c>
      <c r="AV33" s="17" t="s">
        <v>127</v>
      </c>
      <c r="AW33" s="17">
        <v>1</v>
      </c>
      <c r="AX33" s="17" t="s">
        <v>128</v>
      </c>
      <c r="AY33" s="17" t="s">
        <v>200</v>
      </c>
      <c r="AZ33" s="157" t="s">
        <v>139</v>
      </c>
      <c r="BB33" s="144" t="s">
        <v>201</v>
      </c>
      <c r="BC33" s="145">
        <v>30</v>
      </c>
    </row>
    <row r="34" spans="1:55" ht="24.95" customHeight="1">
      <c r="A34" s="757"/>
      <c r="B34" s="91">
        <v>0</v>
      </c>
      <c r="C34" s="10" t="s">
        <v>491</v>
      </c>
      <c r="D34" s="11"/>
      <c r="E34" s="11"/>
      <c r="F34" s="11"/>
      <c r="G34" s="11"/>
      <c r="H34" s="11"/>
      <c r="I34" s="11"/>
      <c r="J34" s="11"/>
      <c r="K34" s="11"/>
      <c r="L34" s="11"/>
      <c r="M34" s="92"/>
      <c r="N34" s="3"/>
      <c r="O34" s="53" t="s">
        <v>202</v>
      </c>
      <c r="Q34" s="29" t="s">
        <v>70</v>
      </c>
      <c r="V34" s="851" t="s">
        <v>203</v>
      </c>
      <c r="W34" s="93"/>
      <c r="X34" s="845">
        <f>AN34</f>
        <v>1500</v>
      </c>
      <c r="Y34" s="835" t="str">
        <f>IF(AN34=0,"",TEXT(AN34/1000,"0.000")&amp;" L")</f>
        <v>1.500 L</v>
      </c>
      <c r="Z34" s="857"/>
      <c r="AA34" s="93"/>
      <c r="AB34" s="93"/>
      <c r="AC34" s="832">
        <f>AQ34</f>
        <v>200</v>
      </c>
      <c r="AD34" s="844">
        <f>IF(AN34=0,"",AQ34/AN34*100)</f>
        <v>13.333333333333334</v>
      </c>
      <c r="AE34" s="93"/>
      <c r="AF34" s="856">
        <f>AR34</f>
        <v>16.25</v>
      </c>
      <c r="AH34" s="94" t="s">
        <v>203</v>
      </c>
      <c r="AI34" s="94"/>
      <c r="AJ34" s="94"/>
      <c r="AK34" s="94"/>
      <c r="AL34" s="94"/>
      <c r="AM34" s="94"/>
      <c r="AN34" s="94">
        <f>SUMIF(AJ27:AJ33,"VOLUME",AN27:AN33)</f>
        <v>1500</v>
      </c>
      <c r="AO34" s="94"/>
      <c r="AP34" s="94"/>
      <c r="AQ34" s="94">
        <f>SUM(AQ27:AQ33)</f>
        <v>200</v>
      </c>
      <c r="AR34" s="94">
        <f>SUM(AR27:AR33)</f>
        <v>16.25</v>
      </c>
      <c r="AS34" s="94" t="str">
        <f>IF(COUNTIF(AS27:AS33,"&lt;&gt;OK")-COUNTBLANK(AS27:AS33)=0,"OK","À CONTRÔLER")</f>
        <v>OK</v>
      </c>
      <c r="AU34" s="53" t="s">
        <v>202</v>
      </c>
      <c r="AV34" s="17" t="s">
        <v>127</v>
      </c>
      <c r="AW34" s="17">
        <v>1</v>
      </c>
      <c r="AX34" s="17" t="s">
        <v>128</v>
      </c>
      <c r="AY34" s="17" t="s">
        <v>204</v>
      </c>
      <c r="AZ34" s="157" t="s">
        <v>139</v>
      </c>
      <c r="BB34" s="144" t="s">
        <v>205</v>
      </c>
      <c r="BC34" s="145">
        <v>20</v>
      </c>
    </row>
    <row r="35" spans="1:55" ht="24.95" customHeight="1">
      <c r="A35" s="757"/>
      <c r="B35" s="95">
        <v>1</v>
      </c>
      <c r="C35" s="96" t="s">
        <v>206</v>
      </c>
      <c r="D35" s="96"/>
      <c r="E35" s="96"/>
      <c r="F35" s="96"/>
      <c r="G35" s="96"/>
      <c r="H35" s="96"/>
      <c r="I35" s="96"/>
      <c r="J35" s="96"/>
      <c r="K35" s="96"/>
      <c r="L35" s="96"/>
      <c r="M35" s="74"/>
      <c r="N35" s="3"/>
      <c r="O35" s="53" t="s">
        <v>207</v>
      </c>
      <c r="Q35" s="184"/>
      <c r="V35" s="832" t="s">
        <v>208</v>
      </c>
      <c r="W35" s="19" t="s">
        <v>209</v>
      </c>
      <c r="X35" s="36"/>
      <c r="Y35" s="858"/>
      <c r="Z35" s="859"/>
      <c r="AA35" s="97"/>
      <c r="AB35" s="97"/>
      <c r="AC35" s="97"/>
      <c r="AD35" s="97"/>
      <c r="AE35" s="97"/>
      <c r="AF35" s="860"/>
      <c r="AH35" s="3" t="s">
        <v>6994</v>
      </c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U35" s="53" t="s">
        <v>207</v>
      </c>
      <c r="AV35" s="17" t="s">
        <v>127</v>
      </c>
      <c r="AW35" s="17">
        <v>1</v>
      </c>
      <c r="AX35" s="17" t="s">
        <v>128</v>
      </c>
      <c r="AY35" s="17" t="s">
        <v>210</v>
      </c>
      <c r="AZ35" s="157" t="s">
        <v>139</v>
      </c>
      <c r="BB35" s="144" t="s">
        <v>211</v>
      </c>
      <c r="BC35" s="145">
        <v>25</v>
      </c>
    </row>
    <row r="36" spans="1:55" ht="24.95" customHeight="1">
      <c r="A36" s="757"/>
      <c r="B36" s="95">
        <v>2</v>
      </c>
      <c r="C36" s="96" t="s">
        <v>212</v>
      </c>
      <c r="D36" s="96"/>
      <c r="E36" s="96"/>
      <c r="F36" s="96"/>
      <c r="G36" s="96"/>
      <c r="H36" s="96"/>
      <c r="I36" s="96"/>
      <c r="J36" s="96"/>
      <c r="K36" s="96"/>
      <c r="L36" s="96"/>
      <c r="M36" s="74"/>
      <c r="N36" s="3"/>
      <c r="O36" s="53" t="s">
        <v>213</v>
      </c>
      <c r="P36" s="3"/>
      <c r="Q36" s="29" t="s">
        <v>584</v>
      </c>
      <c r="V36" s="98" t="str">
        <f t="shared" ref="V36:V43" si="21">IF(C35="","",C35)</f>
        <v>Préparer le verre et le poste de travail.</v>
      </c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H36" s="146" t="s">
        <v>214</v>
      </c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3"/>
      <c r="AU36" s="53" t="s">
        <v>213</v>
      </c>
      <c r="AV36" s="17" t="s">
        <v>127</v>
      </c>
      <c r="AW36" s="17">
        <v>1</v>
      </c>
      <c r="AX36" s="17" t="s">
        <v>128</v>
      </c>
      <c r="AY36" s="17" t="s">
        <v>215</v>
      </c>
      <c r="AZ36" s="157" t="s">
        <v>139</v>
      </c>
      <c r="BB36" s="144" t="s">
        <v>216</v>
      </c>
      <c r="BC36" s="145">
        <v>30</v>
      </c>
    </row>
    <row r="37" spans="1:55" ht="24.95" customHeight="1">
      <c r="A37" s="757"/>
      <c r="B37" s="95">
        <v>3</v>
      </c>
      <c r="C37" s="96" t="s">
        <v>217</v>
      </c>
      <c r="D37" s="96"/>
      <c r="E37" s="96"/>
      <c r="F37" s="96"/>
      <c r="G37" s="96"/>
      <c r="H37" s="96"/>
      <c r="I37" s="96"/>
      <c r="J37" s="96"/>
      <c r="K37" s="96"/>
      <c r="L37" s="96"/>
      <c r="M37" s="74"/>
      <c r="N37" s="3"/>
      <c r="O37" s="53" t="s">
        <v>218</v>
      </c>
      <c r="P37" s="3"/>
      <c r="Q37"/>
      <c r="R37" s="3"/>
      <c r="S37" s="3"/>
      <c r="T37" s="3"/>
      <c r="U37" s="3"/>
      <c r="V37" s="98" t="str">
        <f t="shared" si="21"/>
        <v>Remplir le verre de glaçons selon la fiche.</v>
      </c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H37" s="165" t="s">
        <v>219</v>
      </c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U37" s="53" t="s">
        <v>218</v>
      </c>
      <c r="AV37" s="17" t="s">
        <v>127</v>
      </c>
      <c r="AW37" s="17">
        <v>1</v>
      </c>
      <c r="AX37" s="17" t="s">
        <v>128</v>
      </c>
      <c r="AY37" s="17" t="s">
        <v>220</v>
      </c>
      <c r="AZ37" s="157" t="s">
        <v>139</v>
      </c>
      <c r="BB37" s="144" t="s">
        <v>83</v>
      </c>
      <c r="BC37" s="145">
        <v>25</v>
      </c>
    </row>
    <row r="38" spans="1:55" ht="24.95" customHeight="1">
      <c r="A38" s="757"/>
      <c r="B38" s="95">
        <v>4</v>
      </c>
      <c r="C38" s="96" t="s">
        <v>221</v>
      </c>
      <c r="D38" s="96"/>
      <c r="E38" s="96"/>
      <c r="F38" s="96"/>
      <c r="G38" s="96"/>
      <c r="H38" s="96"/>
      <c r="I38" s="96"/>
      <c r="J38" s="96"/>
      <c r="K38" s="96"/>
      <c r="L38" s="96"/>
      <c r="M38" s="74"/>
      <c r="N38" s="3"/>
      <c r="O38" s="53" t="s">
        <v>184</v>
      </c>
      <c r="P38" s="3"/>
      <c r="Q38" s="356" t="s">
        <v>564</v>
      </c>
      <c r="R38" s="3"/>
      <c r="S38" s="3"/>
      <c r="T38" s="3"/>
      <c r="U38" s="3"/>
      <c r="V38" s="98" t="str">
        <f t="shared" si="21"/>
        <v>Doser le Bitter Campari.</v>
      </c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H38" s="166" t="s">
        <v>222</v>
      </c>
      <c r="AI38" s="167" t="s">
        <v>223</v>
      </c>
      <c r="AJ38" s="165"/>
      <c r="AK38" s="167" t="s">
        <v>224</v>
      </c>
      <c r="AL38" s="165"/>
      <c r="AM38" s="165"/>
      <c r="AN38" s="165"/>
      <c r="AO38" s="167" t="s">
        <v>225</v>
      </c>
      <c r="AP38" s="165"/>
      <c r="AQ38" s="165"/>
      <c r="AR38" s="165"/>
      <c r="AU38" s="53" t="s">
        <v>184</v>
      </c>
      <c r="AV38" s="17" t="s">
        <v>127</v>
      </c>
      <c r="AW38" s="17">
        <v>1</v>
      </c>
      <c r="AX38" s="17" t="s">
        <v>128</v>
      </c>
      <c r="AY38" s="17" t="s">
        <v>226</v>
      </c>
      <c r="AZ38" s="157" t="s">
        <v>139</v>
      </c>
      <c r="BB38" s="144" t="s">
        <v>227</v>
      </c>
      <c r="BC38" s="145">
        <v>6</v>
      </c>
    </row>
    <row r="39" spans="1:55" ht="24.95" customHeight="1">
      <c r="A39" s="757"/>
      <c r="B39" s="95">
        <v>5</v>
      </c>
      <c r="C39" s="96" t="s">
        <v>228</v>
      </c>
      <c r="D39" s="96"/>
      <c r="E39" s="96"/>
      <c r="F39" s="96"/>
      <c r="G39" s="96"/>
      <c r="H39" s="96"/>
      <c r="I39" s="96"/>
      <c r="J39" s="96"/>
      <c r="K39" s="96"/>
      <c r="L39" s="96"/>
      <c r="M39" s="74"/>
      <c r="N39" s="3"/>
      <c r="O39" s="53" t="s">
        <v>229</v>
      </c>
      <c r="P39" s="3"/>
      <c r="Q39"/>
      <c r="R39" s="3"/>
      <c r="S39" s="3"/>
      <c r="T39" s="3"/>
      <c r="U39" s="3"/>
      <c r="V39" s="98" t="str">
        <f t="shared" si="21"/>
        <v>Doser le vermouth italien.</v>
      </c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H39" s="750" t="s">
        <v>156</v>
      </c>
      <c r="AI39" s="748" t="s">
        <v>230</v>
      </c>
      <c r="AJ39" s="748"/>
      <c r="AK39" s="749" t="s">
        <v>231</v>
      </c>
      <c r="AL39" s="749"/>
      <c r="AM39" s="749"/>
      <c r="AN39" s="749"/>
      <c r="AO39" s="746" t="s">
        <v>232</v>
      </c>
      <c r="AP39" s="746"/>
      <c r="AQ39" s="746"/>
      <c r="AR39" s="746"/>
      <c r="AU39" s="53" t="s">
        <v>229</v>
      </c>
      <c r="AV39" s="17" t="s">
        <v>127</v>
      </c>
      <c r="AW39" s="17">
        <v>1</v>
      </c>
      <c r="AX39" s="17" t="s">
        <v>128</v>
      </c>
      <c r="AY39" s="17" t="s">
        <v>233</v>
      </c>
      <c r="AZ39" s="157" t="s">
        <v>139</v>
      </c>
      <c r="BB39" s="144" t="s">
        <v>234</v>
      </c>
      <c r="BC39" s="145">
        <v>21.5</v>
      </c>
    </row>
    <row r="40" spans="1:55" ht="24.95" customHeight="1">
      <c r="A40" s="757"/>
      <c r="B40" s="95">
        <v>6</v>
      </c>
      <c r="C40" s="96" t="s">
        <v>235</v>
      </c>
      <c r="D40" s="96"/>
      <c r="E40" s="96"/>
      <c r="F40" s="96"/>
      <c r="G40" s="96"/>
      <c r="H40" s="96"/>
      <c r="I40" s="96"/>
      <c r="J40" s="96"/>
      <c r="K40" s="96"/>
      <c r="L40" s="96"/>
      <c r="M40" s="74"/>
      <c r="N40" s="3"/>
      <c r="O40" s="53" t="s">
        <v>236</v>
      </c>
      <c r="P40" s="3"/>
      <c r="Q40" s="356" t="s">
        <v>72</v>
      </c>
      <c r="R40" s="3"/>
      <c r="S40" s="3"/>
      <c r="T40" s="3"/>
      <c r="U40" s="3"/>
      <c r="V40" s="98" t="str">
        <f t="shared" si="21"/>
        <v>Ajouter l’eau gazeuse.</v>
      </c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H40" s="750"/>
      <c r="AI40" s="748"/>
      <c r="AJ40" s="748"/>
      <c r="AK40" s="749"/>
      <c r="AL40" s="749"/>
      <c r="AM40" s="749"/>
      <c r="AN40" s="749"/>
      <c r="AO40" s="746"/>
      <c r="AP40" s="746"/>
      <c r="AQ40" s="746"/>
      <c r="AR40" s="746"/>
      <c r="AU40" s="53" t="s">
        <v>236</v>
      </c>
      <c r="AV40" s="17" t="s">
        <v>127</v>
      </c>
      <c r="AW40" s="17">
        <v>1</v>
      </c>
      <c r="AX40" s="17" t="s">
        <v>128</v>
      </c>
      <c r="AY40" s="17" t="s">
        <v>237</v>
      </c>
      <c r="AZ40" s="157" t="s">
        <v>139</v>
      </c>
      <c r="BB40" s="144" t="s">
        <v>238</v>
      </c>
      <c r="BC40" s="145">
        <v>20</v>
      </c>
    </row>
    <row r="41" spans="1:55" ht="24.95" customHeight="1">
      <c r="A41" s="757"/>
      <c r="B41" s="95">
        <v>7</v>
      </c>
      <c r="C41" s="96" t="s">
        <v>239</v>
      </c>
      <c r="D41" s="96"/>
      <c r="E41" s="96"/>
      <c r="F41" s="96"/>
      <c r="G41" s="96"/>
      <c r="H41" s="96"/>
      <c r="I41" s="96"/>
      <c r="J41" s="96"/>
      <c r="K41" s="96"/>
      <c r="L41" s="96"/>
      <c r="M41" s="74"/>
      <c r="N41" s="3"/>
      <c r="O41" s="99" t="s">
        <v>240</v>
      </c>
      <c r="P41" s="3"/>
      <c r="Q41"/>
      <c r="R41" s="3"/>
      <c r="S41" s="3"/>
      <c r="T41" s="3"/>
      <c r="U41" s="3"/>
      <c r="V41" s="98" t="str">
        <f t="shared" si="21"/>
        <v>Mélanger avec régularité sans casser excessivement la glace.</v>
      </c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H41" s="747" t="s">
        <v>492</v>
      </c>
      <c r="AI41" s="748" t="s">
        <v>241</v>
      </c>
      <c r="AJ41" s="748"/>
      <c r="AK41" s="749" t="s">
        <v>242</v>
      </c>
      <c r="AL41" s="749"/>
      <c r="AM41" s="749"/>
      <c r="AN41" s="749"/>
      <c r="AO41" s="746" t="s">
        <v>243</v>
      </c>
      <c r="AP41" s="746"/>
      <c r="AQ41" s="746"/>
      <c r="AR41" s="746"/>
      <c r="AU41" s="39" t="s">
        <v>244</v>
      </c>
      <c r="AV41" s="17" t="s">
        <v>21</v>
      </c>
      <c r="AW41" s="17">
        <v>120</v>
      </c>
      <c r="AX41" s="17" t="s">
        <v>22</v>
      </c>
      <c r="AY41" s="17" t="s">
        <v>245</v>
      </c>
      <c r="AZ41" s="169" t="s">
        <v>246</v>
      </c>
      <c r="BB41" s="4"/>
      <c r="BC41" s="4"/>
    </row>
    <row r="42" spans="1:55" ht="24.95" customHeight="1">
      <c r="A42" s="757"/>
      <c r="B42" s="95">
        <v>8</v>
      </c>
      <c r="C42" s="96" t="s">
        <v>247</v>
      </c>
      <c r="D42" s="96"/>
      <c r="E42" s="96"/>
      <c r="F42" s="96"/>
      <c r="G42" s="96"/>
      <c r="H42" s="96"/>
      <c r="I42" s="96"/>
      <c r="J42" s="96"/>
      <c r="K42" s="96"/>
      <c r="L42" s="96"/>
      <c r="M42" s="74"/>
      <c r="N42" s="3"/>
      <c r="O42" s="100" t="s">
        <v>248</v>
      </c>
      <c r="P42" s="3"/>
      <c r="Q42" s="356" t="s">
        <v>602</v>
      </c>
      <c r="R42" s="3"/>
      <c r="S42" s="3"/>
      <c r="T42" s="3"/>
      <c r="U42" s="3"/>
      <c r="V42" s="98" t="str">
        <f t="shared" si="21"/>
        <v>Ajouter la garniture d’orange.</v>
      </c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H42" s="747"/>
      <c r="AI42" s="748"/>
      <c r="AJ42" s="748"/>
      <c r="AK42" s="749"/>
      <c r="AL42" s="749"/>
      <c r="AM42" s="749"/>
      <c r="AN42" s="749"/>
      <c r="AO42" s="746"/>
      <c r="AP42" s="746"/>
      <c r="AQ42" s="746"/>
      <c r="AR42" s="746"/>
      <c r="AU42" s="39" t="s">
        <v>249</v>
      </c>
      <c r="AV42" s="17" t="s">
        <v>21</v>
      </c>
      <c r="AW42" s="17">
        <v>350</v>
      </c>
      <c r="AX42" s="17" t="s">
        <v>22</v>
      </c>
      <c r="AY42" s="17" t="s">
        <v>250</v>
      </c>
      <c r="AZ42" s="169" t="s">
        <v>246</v>
      </c>
      <c r="BB42" s="4"/>
      <c r="BC42" s="4"/>
    </row>
    <row r="43" spans="1:55" ht="24.95" customHeight="1">
      <c r="A43" s="757"/>
      <c r="B43" s="101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  <c r="N43" s="3"/>
      <c r="O43" s="39" t="s">
        <v>251</v>
      </c>
      <c r="P43" s="3"/>
      <c r="Q43" s="183"/>
      <c r="R43" s="3"/>
      <c r="S43" s="3"/>
      <c r="T43" s="3"/>
      <c r="U43" s="3"/>
      <c r="V43" s="98" t="str">
        <f t="shared" si="21"/>
        <v>Contrôler le volume servi, la présentation et servir immédiatement.</v>
      </c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H43" s="750" t="s">
        <v>6993</v>
      </c>
      <c r="AI43" s="748" t="s">
        <v>252</v>
      </c>
      <c r="AJ43" s="748"/>
      <c r="AK43" s="749" t="s">
        <v>253</v>
      </c>
      <c r="AL43" s="749"/>
      <c r="AM43" s="749"/>
      <c r="AN43" s="749"/>
      <c r="AO43" s="746" t="s">
        <v>254</v>
      </c>
      <c r="AP43" s="746"/>
      <c r="AQ43" s="746"/>
      <c r="AR43" s="746"/>
      <c r="AU43" s="39" t="s">
        <v>255</v>
      </c>
      <c r="AV43" s="17" t="s">
        <v>21</v>
      </c>
      <c r="AW43" s="17">
        <v>250</v>
      </c>
      <c r="AX43" s="17" t="s">
        <v>22</v>
      </c>
      <c r="AY43" s="17" t="s">
        <v>256</v>
      </c>
      <c r="AZ43" s="170" t="s">
        <v>257</v>
      </c>
      <c r="BB43" s="4"/>
      <c r="BC43" s="4"/>
    </row>
    <row r="44" spans="1:55" ht="24.95" customHeight="1">
      <c r="A44" s="757"/>
      <c r="B44" s="10" t="s">
        <v>258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92"/>
      <c r="N44" s="3"/>
      <c r="O44" s="39" t="s">
        <v>255</v>
      </c>
      <c r="P44" s="3"/>
      <c r="Q44" s="356" t="s">
        <v>609</v>
      </c>
      <c r="R44" s="3"/>
      <c r="S44" s="3"/>
      <c r="T44" s="3"/>
      <c r="U44" s="3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H44" s="750"/>
      <c r="AI44" s="748"/>
      <c r="AJ44" s="748"/>
      <c r="AK44" s="749"/>
      <c r="AL44" s="749"/>
      <c r="AM44" s="749"/>
      <c r="AN44" s="749"/>
      <c r="AO44" s="746"/>
      <c r="AP44" s="746"/>
      <c r="AQ44" s="746"/>
      <c r="AR44" s="746"/>
      <c r="AU44" s="99" t="s">
        <v>240</v>
      </c>
      <c r="AV44" s="17" t="s">
        <v>21</v>
      </c>
      <c r="AW44" s="17">
        <v>30</v>
      </c>
      <c r="AX44" s="17" t="s">
        <v>22</v>
      </c>
      <c r="AY44" s="17" t="s">
        <v>240</v>
      </c>
      <c r="AZ44" s="170" t="s">
        <v>257</v>
      </c>
      <c r="BB44" s="4"/>
      <c r="BC44" s="4"/>
    </row>
    <row r="45" spans="1:55" ht="24.95" customHeight="1">
      <c r="A45" s="757"/>
      <c r="B45" s="102" t="s">
        <v>259</v>
      </c>
      <c r="C45" s="73" t="s">
        <v>83</v>
      </c>
      <c r="D45" s="73"/>
      <c r="E45" s="73"/>
      <c r="F45" s="73"/>
      <c r="G45" s="73"/>
      <c r="H45" s="73"/>
      <c r="I45" s="73"/>
      <c r="J45" s="73"/>
      <c r="K45" s="73"/>
      <c r="L45" s="73"/>
      <c r="M45" s="74"/>
      <c r="N45" s="3"/>
      <c r="O45" s="39" t="s">
        <v>244</v>
      </c>
      <c r="P45" s="3"/>
      <c r="R45" s="3"/>
      <c r="S45" s="3"/>
      <c r="T45" s="3"/>
      <c r="U45" s="3"/>
      <c r="V45" s="103" t="s">
        <v>260</v>
      </c>
      <c r="W45" s="103" t="s">
        <v>209</v>
      </c>
      <c r="X45" s="103"/>
      <c r="Y45" s="103"/>
      <c r="Z45" s="103"/>
      <c r="AA45" s="103"/>
      <c r="AB45" s="103"/>
      <c r="AC45" s="103"/>
      <c r="AD45" s="103"/>
      <c r="AE45" s="103"/>
      <c r="AF45" s="103"/>
      <c r="AH45" s="171" t="s">
        <v>261</v>
      </c>
      <c r="AI45" s="172"/>
      <c r="AJ45" s="165"/>
      <c r="AK45" s="165"/>
      <c r="AL45" s="165"/>
      <c r="AM45" s="165"/>
      <c r="AN45" s="165"/>
      <c r="AO45" s="165"/>
      <c r="AP45" s="165"/>
      <c r="AQ45" s="165"/>
      <c r="AR45" s="165"/>
      <c r="AU45" s="100" t="s">
        <v>248</v>
      </c>
      <c r="AV45" s="17" t="s">
        <v>21</v>
      </c>
      <c r="AW45" s="17">
        <v>90</v>
      </c>
      <c r="AX45" s="17" t="s">
        <v>22</v>
      </c>
      <c r="AY45" s="17" t="s">
        <v>248</v>
      </c>
      <c r="AZ45" s="170" t="s">
        <v>257</v>
      </c>
      <c r="BB45" s="4"/>
      <c r="BC45" s="4"/>
    </row>
    <row r="46" spans="1:55" ht="24.95" customHeight="1">
      <c r="A46" s="757"/>
      <c r="B46" s="102" t="s">
        <v>262</v>
      </c>
      <c r="C46" s="73" t="s">
        <v>263</v>
      </c>
      <c r="D46" s="73"/>
      <c r="E46" s="73"/>
      <c r="F46" s="73"/>
      <c r="G46" s="73"/>
      <c r="H46" s="73"/>
      <c r="I46" s="73"/>
      <c r="J46" s="73"/>
      <c r="K46" s="73"/>
      <c r="L46" s="73"/>
      <c r="M46" s="74"/>
      <c r="N46" s="3"/>
      <c r="O46" s="39" t="s">
        <v>24</v>
      </c>
      <c r="P46" s="3"/>
      <c r="Q46" s="3"/>
      <c r="R46" s="3"/>
      <c r="S46" s="3"/>
      <c r="T46" s="3"/>
      <c r="U46" s="3"/>
      <c r="V46" s="98" t="str">
        <f>IF(C45="","",C45)</f>
        <v>Tumbler (Old Fashioned)</v>
      </c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H46" s="172" t="s">
        <v>264</v>
      </c>
      <c r="AI46" s="172"/>
      <c r="AJ46" s="165"/>
      <c r="AK46" s="172"/>
      <c r="AL46" s="165"/>
      <c r="AM46" s="165"/>
      <c r="AN46" s="165"/>
      <c r="AO46" s="172"/>
      <c r="AP46" s="165"/>
      <c r="AQ46" s="165"/>
      <c r="AR46" s="165"/>
      <c r="AU46" s="39" t="s">
        <v>265</v>
      </c>
      <c r="AV46" s="17" t="s">
        <v>21</v>
      </c>
      <c r="AW46" s="17">
        <v>250</v>
      </c>
      <c r="AX46" s="17" t="s">
        <v>22</v>
      </c>
      <c r="AY46" s="17" t="s">
        <v>266</v>
      </c>
      <c r="AZ46" s="170" t="s">
        <v>257</v>
      </c>
      <c r="BB46" s="4"/>
      <c r="BC46" s="4"/>
    </row>
    <row r="47" spans="1:55" ht="24.95" customHeight="1">
      <c r="A47" s="757"/>
      <c r="B47" s="104" t="s">
        <v>267</v>
      </c>
      <c r="C47" s="105" t="s">
        <v>124</v>
      </c>
      <c r="D47" s="73"/>
      <c r="E47" s="73"/>
      <c r="F47" s="73"/>
      <c r="G47" s="73"/>
      <c r="H47" s="73"/>
      <c r="I47" s="73"/>
      <c r="J47" s="73"/>
      <c r="K47" s="73"/>
      <c r="L47" s="73"/>
      <c r="M47" s="74"/>
      <c r="N47" s="3"/>
      <c r="O47" s="39" t="s">
        <v>268</v>
      </c>
      <c r="P47" s="3"/>
      <c r="Q47" s="3"/>
      <c r="R47" s="3"/>
      <c r="S47" s="3"/>
      <c r="T47" s="3"/>
      <c r="U47" s="3"/>
      <c r="V47" s="98" t="str">
        <f>IF(C46="","",C46)</f>
        <v>Doseur / jigger ; cuillère à mélange ; bec verseur ; pince à glaçons</v>
      </c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H47" s="172" t="s">
        <v>269</v>
      </c>
      <c r="AI47" s="172"/>
      <c r="AJ47" s="173"/>
      <c r="AK47" s="173"/>
      <c r="AL47" s="165"/>
      <c r="AM47" s="165"/>
      <c r="AN47" s="165"/>
      <c r="AO47" s="165"/>
      <c r="AP47" s="165"/>
      <c r="AQ47" s="165"/>
      <c r="AR47" s="165"/>
      <c r="AU47" s="39" t="s">
        <v>270</v>
      </c>
      <c r="AV47" s="17" t="s">
        <v>21</v>
      </c>
      <c r="AW47" s="17">
        <v>75</v>
      </c>
      <c r="AX47" s="17" t="s">
        <v>22</v>
      </c>
      <c r="AY47" s="17" t="s">
        <v>271</v>
      </c>
      <c r="AZ47" s="170" t="s">
        <v>257</v>
      </c>
      <c r="BB47" s="4"/>
      <c r="BC47" s="4"/>
    </row>
    <row r="48" spans="1:55" ht="24.95" customHeight="1">
      <c r="A48" s="758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7" t="s">
        <v>272</v>
      </c>
      <c r="N48" s="3"/>
      <c r="O48" s="39" t="s">
        <v>273</v>
      </c>
      <c r="P48" s="3"/>
      <c r="Q48" s="3"/>
      <c r="R48" s="3"/>
      <c r="S48" s="3"/>
      <c r="T48" s="3"/>
      <c r="U48" s="3"/>
      <c r="V48" s="98" t="str">
        <f>IF(C47="","",C47)</f>
        <v>https://www.destinationcocktails.fr/recette/americano-cocktail/</v>
      </c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H48" s="168" t="s">
        <v>274</v>
      </c>
      <c r="AI48" s="165"/>
      <c r="AJ48" s="173"/>
      <c r="AK48" s="173"/>
      <c r="AL48" s="165"/>
      <c r="AM48" s="165"/>
      <c r="AN48" s="165"/>
      <c r="AO48" s="165"/>
      <c r="AP48" s="165"/>
      <c r="AQ48" s="165"/>
      <c r="AR48" s="165"/>
      <c r="AU48" s="39" t="s">
        <v>24</v>
      </c>
      <c r="AV48" s="17" t="s">
        <v>21</v>
      </c>
      <c r="AW48" s="17">
        <v>350</v>
      </c>
      <c r="AX48" s="17" t="s">
        <v>22</v>
      </c>
      <c r="AY48" s="17" t="s">
        <v>275</v>
      </c>
      <c r="AZ48" s="174" t="s">
        <v>276</v>
      </c>
      <c r="BB48" s="4"/>
      <c r="BC48" s="4"/>
    </row>
    <row r="49" spans="1:55" ht="24.95" customHeight="1">
      <c r="N49" s="3"/>
      <c r="O49" s="39" t="s">
        <v>29</v>
      </c>
      <c r="P49" s="3"/>
      <c r="Q49" s="3"/>
      <c r="R49" s="3"/>
      <c r="S49" s="3"/>
      <c r="T49" s="3"/>
      <c r="U49" s="3"/>
      <c r="V49" s="108" t="s">
        <v>277</v>
      </c>
      <c r="W49" s="108"/>
      <c r="X49" s="108"/>
      <c r="Y49" s="108"/>
      <c r="Z49" s="108"/>
      <c r="AA49" s="108"/>
      <c r="AB49" s="108"/>
      <c r="AC49" s="108"/>
      <c r="AD49" s="108"/>
      <c r="AE49" s="108"/>
      <c r="AF49" s="109" t="s">
        <v>277</v>
      </c>
      <c r="AH49" s="168" t="s">
        <v>278</v>
      </c>
      <c r="AI49" s="172"/>
      <c r="AJ49" s="173"/>
      <c r="AK49" s="173"/>
      <c r="AL49" s="165"/>
      <c r="AM49" s="165"/>
      <c r="AN49" s="165"/>
      <c r="AO49" s="165"/>
      <c r="AP49" s="165"/>
      <c r="AQ49" s="165"/>
      <c r="AR49" s="165"/>
      <c r="AU49" s="39" t="s">
        <v>33</v>
      </c>
      <c r="AV49" s="17" t="s">
        <v>21</v>
      </c>
      <c r="AW49" s="17">
        <v>400</v>
      </c>
      <c r="AX49" s="17" t="s">
        <v>22</v>
      </c>
      <c r="AY49" s="17" t="s">
        <v>279</v>
      </c>
      <c r="AZ49" s="174" t="s">
        <v>276</v>
      </c>
      <c r="BB49" s="4"/>
      <c r="BC49" s="4"/>
    </row>
    <row r="50" spans="1:55" ht="24.95" customHeight="1">
      <c r="A50" s="715"/>
      <c r="B50" s="716"/>
      <c r="C50" s="716"/>
      <c r="D50" s="716"/>
      <c r="E50" s="716"/>
      <c r="F50" s="716"/>
      <c r="G50" s="716"/>
      <c r="H50" s="716"/>
      <c r="I50" s="716"/>
      <c r="J50" s="716"/>
      <c r="K50" s="716"/>
      <c r="L50" s="716"/>
      <c r="M50" s="716"/>
      <c r="N50" s="717"/>
      <c r="O50" s="39" t="s">
        <v>280</v>
      </c>
      <c r="P50" s="717"/>
      <c r="Q50" s="3"/>
      <c r="R50" s="3"/>
      <c r="S50" s="3"/>
      <c r="T50" s="3"/>
      <c r="U50" s="719"/>
      <c r="V50" s="761"/>
      <c r="W50" s="761"/>
      <c r="X50" s="761"/>
      <c r="Y50" s="720"/>
      <c r="Z50" s="721"/>
      <c r="AA50" s="721"/>
      <c r="AB50" s="721"/>
      <c r="AC50" s="721"/>
      <c r="AD50" s="721"/>
      <c r="AE50" s="721"/>
      <c r="AF50" s="721"/>
      <c r="AG50" s="719"/>
      <c r="AH50" s="718"/>
      <c r="AI50" s="718"/>
      <c r="AJ50" s="718"/>
      <c r="AK50" s="718"/>
      <c r="AL50" s="718"/>
      <c r="AM50" s="722"/>
      <c r="AN50" s="722"/>
      <c r="AO50" s="722"/>
      <c r="AP50" s="722"/>
      <c r="AQ50" s="722"/>
      <c r="AR50" s="722"/>
      <c r="AS50" s="722"/>
      <c r="AU50" s="39" t="s">
        <v>40</v>
      </c>
      <c r="AV50" s="17" t="s">
        <v>21</v>
      </c>
      <c r="AW50" s="17">
        <v>180</v>
      </c>
      <c r="AX50" s="17" t="s">
        <v>22</v>
      </c>
      <c r="AY50" s="17" t="s">
        <v>282</v>
      </c>
      <c r="AZ50" s="174" t="s">
        <v>276</v>
      </c>
      <c r="BB50" s="4"/>
      <c r="BC50" s="4"/>
    </row>
    <row r="51" spans="1:55" ht="24.95" customHeight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9" t="s">
        <v>283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U51" s="39" t="s">
        <v>43</v>
      </c>
      <c r="AV51" s="17" t="s">
        <v>21</v>
      </c>
      <c r="AW51" s="17">
        <v>240</v>
      </c>
      <c r="AX51" s="17" t="s">
        <v>22</v>
      </c>
      <c r="AY51" s="17" t="s">
        <v>287</v>
      </c>
      <c r="AZ51" s="174" t="s">
        <v>276</v>
      </c>
      <c r="BB51" s="4"/>
      <c r="BC51" s="4"/>
    </row>
    <row r="52" spans="1:55" ht="24.95" customHeight="1">
      <c r="A52" s="149" t="s">
        <v>59</v>
      </c>
      <c r="B52" s="711" t="s">
        <v>60</v>
      </c>
      <c r="C52" s="711"/>
      <c r="D52" s="711"/>
      <c r="E52" s="711"/>
      <c r="F52" s="711"/>
      <c r="G52" s="711"/>
      <c r="H52" s="711"/>
      <c r="I52" s="711"/>
      <c r="J52" s="711"/>
      <c r="K52" s="711"/>
      <c r="L52" s="711"/>
      <c r="M52" s="711"/>
      <c r="N52" s="3"/>
      <c r="O52" s="39" t="s">
        <v>33</v>
      </c>
      <c r="P52" s="3"/>
      <c r="Q52" s="10" t="s">
        <v>61</v>
      </c>
      <c r="R52" s="10"/>
      <c r="S52" s="10"/>
      <c r="T52" s="10"/>
      <c r="V52" s="861" t="s">
        <v>62</v>
      </c>
      <c r="W52" s="861"/>
      <c r="X52" s="861"/>
      <c r="Y52" s="23" t="s">
        <v>63</v>
      </c>
      <c r="Z52" s="24"/>
      <c r="AA52" s="24"/>
      <c r="AB52" s="24"/>
      <c r="AC52" s="24"/>
      <c r="AD52" s="24"/>
      <c r="AE52" s="24"/>
      <c r="AF52" s="24"/>
      <c r="AH52" s="25" t="s">
        <v>64</v>
      </c>
      <c r="AI52" s="25"/>
      <c r="AJ52" s="25" t="s">
        <v>65</v>
      </c>
      <c r="AK52" s="25"/>
      <c r="AL52" s="25"/>
      <c r="AM52" s="26"/>
      <c r="AN52" s="26"/>
      <c r="AO52" s="26"/>
      <c r="AP52" s="26"/>
      <c r="AQ52" s="26"/>
      <c r="AR52" s="26"/>
      <c r="AS52" s="26"/>
      <c r="AU52" s="39" t="s">
        <v>46</v>
      </c>
      <c r="AV52" s="17" t="s">
        <v>21</v>
      </c>
      <c r="AW52" s="17">
        <v>240</v>
      </c>
      <c r="AX52" s="17" t="s">
        <v>22</v>
      </c>
      <c r="AY52" s="17" t="s">
        <v>290</v>
      </c>
      <c r="AZ52" s="174" t="s">
        <v>276</v>
      </c>
      <c r="BB52" s="4"/>
      <c r="BC52" s="4"/>
    </row>
    <row r="53" spans="1:55" ht="24.95" customHeight="1">
      <c r="A53" s="712"/>
      <c r="B53" s="27" t="s">
        <v>67</v>
      </c>
      <c r="C53" s="28" t="s">
        <v>7271</v>
      </c>
      <c r="D53" s="28"/>
      <c r="E53" s="27" t="s">
        <v>69</v>
      </c>
      <c r="F53" s="29" t="s">
        <v>70</v>
      </c>
      <c r="G53" s="30"/>
      <c r="H53" s="27" t="s">
        <v>71</v>
      </c>
      <c r="I53" s="729" t="s">
        <v>7272</v>
      </c>
      <c r="J53" s="30"/>
      <c r="K53" s="27" t="s">
        <v>73</v>
      </c>
      <c r="L53" s="32" t="s">
        <v>74</v>
      </c>
      <c r="M53" s="33"/>
      <c r="N53" s="3"/>
      <c r="O53" s="39" t="s">
        <v>40</v>
      </c>
      <c r="P53" s="3"/>
      <c r="Q53" s="14" t="s">
        <v>27</v>
      </c>
      <c r="R53" s="35">
        <v>12</v>
      </c>
      <c r="S53" s="15" t="s">
        <v>76</v>
      </c>
      <c r="T53" s="15"/>
      <c r="V53" s="831" t="s">
        <v>77</v>
      </c>
      <c r="W53" s="862" t="str">
        <f>C53</f>
        <v>MOJITO</v>
      </c>
      <c r="X53" s="862"/>
      <c r="Y53" s="862"/>
      <c r="Z53" s="36" t="s">
        <v>78</v>
      </c>
      <c r="AA53" s="24" t="str">
        <f>F53</f>
        <v>AVEC ALCOOL</v>
      </c>
      <c r="AB53" s="24"/>
      <c r="AC53" s="831" t="s">
        <v>71</v>
      </c>
      <c r="AD53" s="37" t="str">
        <f>I53</f>
        <v>ALL DAY</v>
      </c>
      <c r="AE53" s="831" t="s">
        <v>73</v>
      </c>
      <c r="AF53" s="24" t="str">
        <f>L53</f>
        <v>ON THE ROCKS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U53" s="39" t="s">
        <v>49</v>
      </c>
      <c r="AV53" s="17" t="s">
        <v>21</v>
      </c>
      <c r="AW53" s="17">
        <v>180</v>
      </c>
      <c r="AX53" s="17" t="s">
        <v>22</v>
      </c>
      <c r="AY53" s="17" t="s">
        <v>293</v>
      </c>
      <c r="AZ53" s="174" t="s">
        <v>276</v>
      </c>
      <c r="BB53" s="4"/>
      <c r="BC53" s="4"/>
    </row>
    <row r="54" spans="1:55" ht="24.95" customHeight="1">
      <c r="A54" s="712"/>
      <c r="B54" s="27" t="s">
        <v>80</v>
      </c>
      <c r="C54" s="38" t="s">
        <v>7273</v>
      </c>
      <c r="D54" s="30"/>
      <c r="E54" s="27" t="s">
        <v>82</v>
      </c>
      <c r="F54" s="39" t="s">
        <v>103</v>
      </c>
      <c r="G54" s="30"/>
      <c r="H54" s="27" t="s">
        <v>84</v>
      </c>
      <c r="I54" s="40">
        <v>1</v>
      </c>
      <c r="J54" s="41" t="s">
        <v>103</v>
      </c>
      <c r="K54" s="41"/>
      <c r="L54" s="42" t="s">
        <v>76</v>
      </c>
      <c r="M54" s="33"/>
      <c r="N54" s="3"/>
      <c r="O54" s="39" t="s">
        <v>43</v>
      </c>
      <c r="Q54" s="14" t="s">
        <v>31</v>
      </c>
      <c r="R54" s="35"/>
      <c r="S54" s="15" t="s">
        <v>86</v>
      </c>
      <c r="T54" s="15"/>
      <c r="V54" s="44" t="s">
        <v>87</v>
      </c>
      <c r="W54" s="150">
        <f>R58</f>
        <v>14.399999999999999</v>
      </c>
      <c r="X54" s="43" t="s">
        <v>88</v>
      </c>
      <c r="Y54" s="43"/>
      <c r="Z54" s="44" t="s">
        <v>89</v>
      </c>
      <c r="AA54" s="45">
        <f>R60</f>
        <v>1.1325000000000001</v>
      </c>
      <c r="AB54" s="46" t="s">
        <v>90</v>
      </c>
      <c r="AC54" s="44" t="s">
        <v>91</v>
      </c>
      <c r="AD54" s="45">
        <f>R55</f>
        <v>12</v>
      </c>
      <c r="AE54" s="47" t="s">
        <v>92</v>
      </c>
      <c r="AF54" s="43" t="str">
        <f>R62</f>
        <v>NOMBRE DE COCKTAILS</v>
      </c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U54" s="39" t="s">
        <v>53</v>
      </c>
      <c r="AV54" s="17" t="s">
        <v>21</v>
      </c>
      <c r="AW54" s="17">
        <v>120</v>
      </c>
      <c r="AX54" s="17" t="s">
        <v>22</v>
      </c>
      <c r="AY54" s="17" t="s">
        <v>296</v>
      </c>
      <c r="AZ54" s="174" t="s">
        <v>276</v>
      </c>
      <c r="BB54" s="4"/>
      <c r="BC54" s="4"/>
    </row>
    <row r="55" spans="1:55" ht="24.95" customHeight="1">
      <c r="A55" s="712"/>
      <c r="B55" s="27" t="s">
        <v>94</v>
      </c>
      <c r="C55" s="151" t="s">
        <v>7274</v>
      </c>
      <c r="D55" s="30"/>
      <c r="E55" s="30"/>
      <c r="F55" s="30"/>
      <c r="G55" s="30"/>
      <c r="H55" s="27" t="s">
        <v>96</v>
      </c>
      <c r="I55" s="48">
        <v>12.5</v>
      </c>
      <c r="J55" s="730" t="s">
        <v>32</v>
      </c>
      <c r="K55" s="30"/>
      <c r="L55" s="30"/>
      <c r="M55" s="33"/>
      <c r="N55" s="3"/>
      <c r="O55" s="39" t="s">
        <v>46</v>
      </c>
      <c r="Q55" s="14" t="s">
        <v>98</v>
      </c>
      <c r="R55" s="49">
        <f>IF(AND(ISNUMBER(R54),R54&gt;0),IFERROR(R54*1000/R56,0),IF(AND(ISNUMBER(R53),R53&gt;0,ISNUMBER(I54),I54&gt;0),R53/I54,1))</f>
        <v>12</v>
      </c>
      <c r="S55" s="50" t="s">
        <v>99</v>
      </c>
      <c r="T55" s="50"/>
      <c r="V55" s="44" t="s">
        <v>100</v>
      </c>
      <c r="W55" s="51">
        <f>IF(R56="","",R56/10)</f>
        <v>12.5</v>
      </c>
      <c r="X55" s="46" t="s">
        <v>32</v>
      </c>
      <c r="Y55" s="43"/>
      <c r="Z55" s="44" t="s">
        <v>101</v>
      </c>
      <c r="AA55" s="45">
        <f>R57</f>
        <v>12.5</v>
      </c>
      <c r="AB55" s="46" t="s">
        <v>32</v>
      </c>
      <c r="AC55" s="44" t="s">
        <v>102</v>
      </c>
      <c r="AD55" s="45">
        <f>R61</f>
        <v>12</v>
      </c>
      <c r="AE55" s="51"/>
      <c r="AF55" s="4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U55" s="39" t="s">
        <v>58</v>
      </c>
      <c r="AV55" s="17" t="s">
        <v>21</v>
      </c>
      <c r="AW55" s="17">
        <v>200</v>
      </c>
      <c r="AX55" s="17" t="s">
        <v>22</v>
      </c>
      <c r="AY55" s="17" t="s">
        <v>58</v>
      </c>
      <c r="AZ55" s="174" t="s">
        <v>276</v>
      </c>
      <c r="BB55" s="4"/>
      <c r="BC55" s="4"/>
    </row>
    <row r="56" spans="1:55" ht="24.95" customHeight="1">
      <c r="A56" s="712"/>
      <c r="B56" s="27"/>
      <c r="C56" s="52" t="str">
        <f>UPPER(LEFT(C53,1)) &amp; " . " &amp; UPPER(LEFT(C53,1)) &amp; LOWER(MID(C53,2,999)) &amp; " . " &amp; UPPER(LEFT(F53,1)) &amp; LOWER(MID(F53,2,999)) &amp; " . " &amp; UPPER(LEFT(I53,1)) &amp; LOWER(MID(I53,2,999)) &amp; " . " &amp; "Verre " &amp; UPPER(LEFT(F54,1)) &amp; LOWER(MID(F54,2,999)) &amp; IF(LEFT(L53,1)=UPPER(LEFT(L53,1)),".","") &amp; UPPER(LEFT(L53,1)) &amp; LOWER(MID(L53,2,999))&amp;"  couleur"&amp;" "&amp;C54&amp;"  intensité"&amp;" "&amp;C55</f>
        <v>M . Mojito . Avec alcool . All day . Verre Highball.On the rocks  couleur vert pâle  intensité ** frais acidulé</v>
      </c>
      <c r="D56" s="52"/>
      <c r="E56" s="52"/>
      <c r="F56" s="52"/>
      <c r="G56" s="52"/>
      <c r="H56" s="52"/>
      <c r="I56" s="52"/>
      <c r="J56" s="52"/>
      <c r="K56" s="52"/>
      <c r="L56" s="30"/>
      <c r="M56" s="33"/>
      <c r="N56" s="3"/>
      <c r="O56" s="39" t="s">
        <v>299</v>
      </c>
      <c r="Q56" s="14" t="s">
        <v>105</v>
      </c>
      <c r="R56" s="49">
        <f>SUMIF(AJ63:AJ69,"VOLUME",AL63:AL69)</f>
        <v>125</v>
      </c>
      <c r="S56" s="50" t="s">
        <v>22</v>
      </c>
      <c r="T56" s="50"/>
      <c r="V56" s="44" t="s">
        <v>96</v>
      </c>
      <c r="W56" s="51">
        <f>I55</f>
        <v>12.5</v>
      </c>
      <c r="X56" s="46" t="str">
        <f>J55</f>
        <v>cl</v>
      </c>
      <c r="Y56" s="43"/>
      <c r="Z56" s="44" t="s">
        <v>82</v>
      </c>
      <c r="AA56" s="54" t="str">
        <f>F54</f>
        <v>Highball</v>
      </c>
      <c r="AB56" s="43"/>
      <c r="AC56" s="44" t="s">
        <v>106</v>
      </c>
      <c r="AD56" s="45">
        <f>R63</f>
        <v>24</v>
      </c>
      <c r="AE56" s="46" t="s">
        <v>32</v>
      </c>
      <c r="AF56" s="4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U56" s="39" t="s">
        <v>79</v>
      </c>
      <c r="AV56" s="17" t="s">
        <v>21</v>
      </c>
      <c r="AW56" s="17">
        <v>400</v>
      </c>
      <c r="AX56" s="17" t="s">
        <v>22</v>
      </c>
      <c r="AY56" s="17" t="s">
        <v>301</v>
      </c>
      <c r="AZ56" s="174" t="s">
        <v>276</v>
      </c>
      <c r="BB56" s="4"/>
      <c r="BC56" s="4"/>
    </row>
    <row r="57" spans="1:55" ht="24.95" customHeight="1">
      <c r="A57" s="712"/>
      <c r="B57" s="27" t="s">
        <v>110</v>
      </c>
      <c r="C57" s="55" t="s">
        <v>7275</v>
      </c>
      <c r="D57" s="55"/>
      <c r="E57" s="154"/>
      <c r="F57" s="154"/>
      <c r="G57" s="154"/>
      <c r="H57" s="154"/>
      <c r="I57" s="154"/>
      <c r="J57" s="154"/>
      <c r="K57" s="154"/>
      <c r="L57" s="30"/>
      <c r="M57" s="33"/>
      <c r="N57" s="3"/>
      <c r="O57" s="39" t="s">
        <v>302</v>
      </c>
      <c r="Q57" s="14" t="s">
        <v>113</v>
      </c>
      <c r="R57" s="49">
        <f>IF(OR(R56=0,NOT(ISNUMBER(I54)),I54&lt;=0),"",R56/I54/10)</f>
        <v>12.5</v>
      </c>
      <c r="S57" s="50" t="s">
        <v>32</v>
      </c>
      <c r="T57" s="50"/>
      <c r="V57" s="44" t="s">
        <v>114</v>
      </c>
      <c r="W57" s="51" t="str">
        <f>IF(I55="","",IF(R63="","⚠ À CONTRÔLER",IF(I55&lt;=R63,"✔ OK","❌ DÉPASSE CAPACITÉ")))</f>
        <v>✔ OK</v>
      </c>
      <c r="X57" s="43"/>
      <c r="Y57" s="43"/>
      <c r="Z57" s="44"/>
      <c r="AA57" s="56"/>
      <c r="AB57" s="43"/>
      <c r="AC57" s="43"/>
      <c r="AD57" s="46"/>
      <c r="AE57" s="46"/>
      <c r="AF57" s="4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U57" s="39" t="s">
        <v>109</v>
      </c>
      <c r="AV57" s="17" t="s">
        <v>21</v>
      </c>
      <c r="AW57" s="17">
        <v>240</v>
      </c>
      <c r="AX57" s="17" t="s">
        <v>22</v>
      </c>
      <c r="AY57" s="17" t="s">
        <v>304</v>
      </c>
      <c r="AZ57" s="174" t="s">
        <v>276</v>
      </c>
      <c r="BB57" s="4"/>
      <c r="BC57" s="4"/>
    </row>
    <row r="58" spans="1:55" ht="24.95" customHeight="1">
      <c r="A58" s="712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3"/>
      <c r="N58" s="3"/>
      <c r="O58" s="39" t="s">
        <v>305</v>
      </c>
      <c r="Q58" s="14" t="s">
        <v>118</v>
      </c>
      <c r="R58" s="155">
        <f>IF(AN70=0,"",SUM(AQ63:AQ69)/AN70*100)</f>
        <v>14.399999999999999</v>
      </c>
      <c r="S58" s="50" t="s">
        <v>88</v>
      </c>
      <c r="T58" s="50"/>
      <c r="V58" s="44" t="s">
        <v>110</v>
      </c>
      <c r="W58" s="46" t="str">
        <f>C57</f>
        <v>Long drink frais à base de rhum, citron vert, menthe et eau gazeuse</v>
      </c>
      <c r="X58" s="43"/>
      <c r="Y58" s="43"/>
      <c r="Z58" s="44"/>
      <c r="AA58" s="56"/>
      <c r="AB58" s="43"/>
      <c r="AC58" s="43"/>
      <c r="AD58" s="46"/>
      <c r="AE58" s="46"/>
      <c r="AF58" s="4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U58" s="39" t="s">
        <v>120</v>
      </c>
      <c r="AV58" s="17" t="s">
        <v>21</v>
      </c>
      <c r="AW58" s="17">
        <v>500</v>
      </c>
      <c r="AX58" s="17" t="s">
        <v>22</v>
      </c>
      <c r="AY58" s="17" t="s">
        <v>120</v>
      </c>
      <c r="AZ58" s="174" t="s">
        <v>276</v>
      </c>
      <c r="BB58" s="4"/>
      <c r="BC58" s="4"/>
    </row>
    <row r="59" spans="1:55" ht="24.95" customHeight="1">
      <c r="A59" s="712"/>
      <c r="B59" s="57" t="s">
        <v>121</v>
      </c>
      <c r="C59" s="58" t="s">
        <v>7276</v>
      </c>
      <c r="D59" s="58"/>
      <c r="E59" s="59"/>
      <c r="F59" s="57" t="s">
        <v>123</v>
      </c>
      <c r="G59" s="58" t="s">
        <v>7277</v>
      </c>
      <c r="H59" s="60"/>
      <c r="I59" s="60"/>
      <c r="J59" s="61"/>
      <c r="K59" s="61"/>
      <c r="L59" s="61"/>
      <c r="M59" s="62"/>
      <c r="N59" s="3"/>
      <c r="O59" s="39" t="s">
        <v>307</v>
      </c>
      <c r="Q59" s="14" t="s">
        <v>126</v>
      </c>
      <c r="R59" s="156">
        <f>SUM(AR63:AR69)</f>
        <v>13.590000000000002</v>
      </c>
      <c r="S59" s="50" t="s">
        <v>90</v>
      </c>
      <c r="T59" s="50"/>
      <c r="V59" s="44" t="s">
        <v>121</v>
      </c>
      <c r="W59" s="46" t="str">
        <f>C59</f>
        <v>Référence classique — adaptation CFA</v>
      </c>
      <c r="X59" s="43"/>
      <c r="Y59" s="43"/>
      <c r="Z59" s="44" t="s">
        <v>94</v>
      </c>
      <c r="AA59" s="54" t="str">
        <f>C55</f>
        <v>** frais acidulé</v>
      </c>
      <c r="AB59" s="43"/>
      <c r="AC59" s="759" t="str">
        <f>UPPER(LEFT(C53,1))&amp;" . "&amp;UPPER(LEFT(C53,1))&amp;LOWER(MID(C53,2,999))&amp;" . "&amp;UPPER(LEFT(F53,1))&amp;LOWER(MID(F53,2,999))&amp;" . "&amp;UPPER(LEFT(I53,1))&amp;LOWER(MID(I53,2,999))&amp;" . "&amp;"Verre "&amp;UPPER(LEFT(F54,1))&amp;LOWER(MID(F54,2,999))&amp;IF(LEFT(L53,1)=UPPER(LEFT(L53,1)),".","")&amp;UPPER(LEFT(L53,1))&amp;LOWER(MID(L53,2,999))&amp;"  couleur "&amp;C54&amp;"  intensité "&amp;C55</f>
        <v>M . Mojito . Avec alcool . All day . Verre Highball.On the rocks  couleur vert pâle  intensité ** frais acidulé</v>
      </c>
      <c r="AD59" s="759"/>
      <c r="AE59" s="759"/>
      <c r="AF59" s="759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U59" s="39" t="s">
        <v>130</v>
      </c>
      <c r="AV59" s="17" t="s">
        <v>21</v>
      </c>
      <c r="AW59" s="17">
        <v>215</v>
      </c>
      <c r="AX59" s="17" t="s">
        <v>22</v>
      </c>
      <c r="AY59" s="17" t="s">
        <v>309</v>
      </c>
      <c r="AZ59" s="174" t="s">
        <v>276</v>
      </c>
      <c r="BB59" s="4"/>
      <c r="BC59" s="4"/>
    </row>
    <row r="60" spans="1:55" ht="24.95" customHeight="1">
      <c r="A60" s="712"/>
      <c r="B60" s="10" t="s">
        <v>131</v>
      </c>
      <c r="C60" s="10" t="s">
        <v>132</v>
      </c>
      <c r="D60" s="10"/>
      <c r="E60" s="10"/>
      <c r="F60" s="10"/>
      <c r="G60" s="10"/>
      <c r="H60" s="10"/>
      <c r="I60" s="10"/>
      <c r="J60" s="11" t="str">
        <f>IF(COUNTIF(C62:C68,"*~**")+COUNTIF(C62:C68,"*~?*")=0,"",IF(COUNTIF(C62:C68,"*~**")&gt;0,COUNTIF(C62:C68,"*~**")&amp;" allergène"&amp;IF(COUNTIF(C62:C68,"*~**")&gt;1,"s","")&amp;" repéré"&amp;IF(COUNTIF(C62:C68,"*~**")&gt;1,"s","")&amp;" par *","")&amp;IF(AND(COUNTIF(C62:C68,"*~**")&gt;0,COUNTIF(C62:C68,"*~?*")&gt;0)," | ","")&amp;IF(COUNTIF(C62:C68,"*~?*")&gt;0,COUNTIF(C62:C68,"*~?*")&amp;" produit"&amp;IF(COUNTIF(C62:C68,"*~?*")&gt;1,"s","")&amp;" à vérifier par ?",""))</f>
        <v/>
      </c>
      <c r="K60" s="10"/>
      <c r="L60" s="10"/>
      <c r="M60" s="63"/>
      <c r="N60" s="3"/>
      <c r="O60" s="39" t="s">
        <v>310</v>
      </c>
      <c r="Q60" s="14" t="s">
        <v>134</v>
      </c>
      <c r="R60" s="156">
        <f>IF(OR(R59="",R61="",R61=0),"",R59/R61)</f>
        <v>1.1325000000000001</v>
      </c>
      <c r="S60" s="50" t="s">
        <v>135</v>
      </c>
      <c r="T60" s="50"/>
      <c r="V60" s="852" t="s">
        <v>136</v>
      </c>
      <c r="W60" s="853">
        <f>R59</f>
        <v>13.590000000000002</v>
      </c>
      <c r="X60" s="854" t="s">
        <v>90</v>
      </c>
      <c r="Y60" s="43"/>
      <c r="Z60" s="44" t="s">
        <v>137</v>
      </c>
      <c r="AA60" s="54" t="str">
        <f>C53</f>
        <v>MOJITO</v>
      </c>
      <c r="AB60" s="43"/>
      <c r="AC60" s="759"/>
      <c r="AD60" s="759"/>
      <c r="AE60" s="759"/>
      <c r="AF60" s="759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U60" s="39" t="s">
        <v>140</v>
      </c>
      <c r="AV60" s="17" t="s">
        <v>21</v>
      </c>
      <c r="AW60" s="17">
        <v>200</v>
      </c>
      <c r="AX60" s="17" t="s">
        <v>22</v>
      </c>
      <c r="AY60" s="17" t="s">
        <v>312</v>
      </c>
      <c r="AZ60" s="174" t="s">
        <v>276</v>
      </c>
      <c r="BB60" s="4"/>
      <c r="BC60" s="4"/>
    </row>
    <row r="61" spans="1:55" ht="24.95" customHeight="1">
      <c r="A61" s="712"/>
      <c r="B61" s="66">
        <v>0</v>
      </c>
      <c r="C61" s="64" t="s">
        <v>141</v>
      </c>
      <c r="D61" s="65" t="s">
        <v>142</v>
      </c>
      <c r="E61" s="64" t="s">
        <v>9</v>
      </c>
      <c r="F61" s="66" t="s">
        <v>143</v>
      </c>
      <c r="G61" s="66" t="s">
        <v>144</v>
      </c>
      <c r="H61" s="66" t="s">
        <v>145</v>
      </c>
      <c r="I61" s="67" t="s">
        <v>146</v>
      </c>
      <c r="J61" s="67" t="s">
        <v>847</v>
      </c>
      <c r="K61" s="67" t="s">
        <v>148</v>
      </c>
      <c r="L61" s="67" t="s">
        <v>149</v>
      </c>
      <c r="M61" s="68" t="s">
        <v>150</v>
      </c>
      <c r="N61" s="3"/>
      <c r="O61" s="39" t="s">
        <v>313</v>
      </c>
      <c r="Q61" s="14" t="s">
        <v>152</v>
      </c>
      <c r="R61" s="49">
        <f>IF(AND(ISNUMBER(R54),R54&gt;0,ISNUMBER(I55),I55&gt;0),R54*1000/(I55*10),IF(AND(ISNUMBER(R53),R53&gt;0),R53,""))</f>
        <v>12</v>
      </c>
      <c r="S61" s="50" t="s">
        <v>76</v>
      </c>
      <c r="T61" s="50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H61" s="25" t="s">
        <v>153</v>
      </c>
      <c r="AI61" s="25"/>
      <c r="AJ61" s="25" t="s">
        <v>490</v>
      </c>
      <c r="AK61" s="25"/>
      <c r="AL61" s="25"/>
      <c r="AM61" s="25"/>
      <c r="AN61" s="26"/>
      <c r="AO61" s="26"/>
      <c r="AP61" s="26"/>
      <c r="AQ61" s="26"/>
      <c r="AR61" s="26"/>
      <c r="AS61" s="26"/>
      <c r="AU61" s="39" t="s">
        <v>175</v>
      </c>
      <c r="AV61" s="17" t="s">
        <v>21</v>
      </c>
      <c r="AW61" s="17">
        <v>350</v>
      </c>
      <c r="AX61" s="17" t="s">
        <v>22</v>
      </c>
      <c r="AY61" s="17" t="s">
        <v>314</v>
      </c>
      <c r="AZ61" s="174" t="s">
        <v>276</v>
      </c>
      <c r="BB61" s="4"/>
      <c r="BC61" s="4"/>
    </row>
    <row r="62" spans="1:55" ht="24.95" customHeight="1">
      <c r="A62" s="712"/>
      <c r="B62" s="731">
        <v>1</v>
      </c>
      <c r="C62" s="70" t="s">
        <v>805</v>
      </c>
      <c r="D62" s="79">
        <v>4.5</v>
      </c>
      <c r="E62" s="18" t="s">
        <v>32</v>
      </c>
      <c r="F62" s="72">
        <v>40</v>
      </c>
      <c r="G62" s="732">
        <v>0.95</v>
      </c>
      <c r="H62" s="733" t="s">
        <v>156</v>
      </c>
      <c r="I62" s="161">
        <v>18</v>
      </c>
      <c r="J62" s="73"/>
      <c r="K62" s="73" t="s">
        <v>7278</v>
      </c>
      <c r="L62" s="73"/>
      <c r="M62" s="74"/>
      <c r="N62" s="3"/>
      <c r="O62" s="39" t="s">
        <v>49</v>
      </c>
      <c r="Q62" s="14" t="s">
        <v>158</v>
      </c>
      <c r="R62" s="75" t="str">
        <f>IF(AND(ISNUMBER(R54),R54&gt;0),"VOLUME TOTAL",IF(AND(ISNUMBER(R53),R53&gt;0),"NOMBRE DE COCKTAILS","RÉFÉRENCE"))</f>
        <v>NOMBRE DE COCKTAILS</v>
      </c>
      <c r="S62" s="50"/>
      <c r="T62" s="50"/>
      <c r="V62" s="831" t="s">
        <v>159</v>
      </c>
      <c r="W62" s="36" t="s">
        <v>160</v>
      </c>
      <c r="X62" s="76" t="s">
        <v>161</v>
      </c>
      <c r="Y62" s="835" t="s">
        <v>162</v>
      </c>
      <c r="Z62" s="838" t="s">
        <v>163</v>
      </c>
      <c r="AA62" s="36" t="s">
        <v>164</v>
      </c>
      <c r="AB62" s="36" t="s">
        <v>9</v>
      </c>
      <c r="AC62" s="841" t="s">
        <v>165</v>
      </c>
      <c r="AD62" s="296" t="s">
        <v>166</v>
      </c>
      <c r="AE62" s="36" t="s">
        <v>146</v>
      </c>
      <c r="AF62" s="833" t="s">
        <v>167</v>
      </c>
      <c r="AH62" s="77" t="s">
        <v>168</v>
      </c>
      <c r="AI62" s="78" t="s">
        <v>159</v>
      </c>
      <c r="AJ62" s="77" t="s">
        <v>10</v>
      </c>
      <c r="AK62" s="77" t="s">
        <v>169</v>
      </c>
      <c r="AL62" s="77" t="s">
        <v>170</v>
      </c>
      <c r="AM62" s="77" t="s">
        <v>91</v>
      </c>
      <c r="AN62" s="78" t="s">
        <v>161</v>
      </c>
      <c r="AO62" s="77" t="s">
        <v>171</v>
      </c>
      <c r="AP62" s="77" t="s">
        <v>172</v>
      </c>
      <c r="AQ62" s="77" t="s">
        <v>165</v>
      </c>
      <c r="AR62" s="77" t="s">
        <v>167</v>
      </c>
      <c r="AS62" s="77" t="s">
        <v>173</v>
      </c>
      <c r="AU62" s="39" t="s">
        <v>179</v>
      </c>
      <c r="AV62" s="17" t="s">
        <v>21</v>
      </c>
      <c r="AW62" s="17">
        <v>150</v>
      </c>
      <c r="AX62" s="17" t="s">
        <v>22</v>
      </c>
      <c r="AY62" s="17" t="s">
        <v>315</v>
      </c>
      <c r="AZ62" s="174" t="s">
        <v>276</v>
      </c>
      <c r="BB62" s="4"/>
      <c r="BC62" s="4"/>
    </row>
    <row r="63" spans="1:55" ht="24.95" customHeight="1">
      <c r="A63" s="712"/>
      <c r="B63" s="734">
        <v>2</v>
      </c>
      <c r="C63" s="70" t="s">
        <v>7279</v>
      </c>
      <c r="D63" s="79">
        <v>2</v>
      </c>
      <c r="E63" s="18" t="s">
        <v>32</v>
      </c>
      <c r="F63" s="72">
        <v>0</v>
      </c>
      <c r="G63" s="732">
        <v>1.03</v>
      </c>
      <c r="H63" s="733" t="s">
        <v>156</v>
      </c>
      <c r="I63" s="161">
        <v>3</v>
      </c>
      <c r="J63" s="73"/>
      <c r="K63" s="73" t="s">
        <v>7280</v>
      </c>
      <c r="L63" s="73"/>
      <c r="M63" s="74"/>
      <c r="N63" s="3"/>
      <c r="O63" s="39" t="s">
        <v>316</v>
      </c>
      <c r="Q63" s="14" t="s">
        <v>35</v>
      </c>
      <c r="R63" s="35">
        <f>IFERROR(VLOOKUP(F54,$BB$5:$BC$40,2,FALSE),"")</f>
        <v>24</v>
      </c>
      <c r="S63" s="50" t="s">
        <v>32</v>
      </c>
      <c r="T63" s="50"/>
      <c r="V63" s="846" t="str">
        <f t="shared" ref="V63:V69" si="22">IF(AI63="","",AI63)</f>
        <v>Rhum blanc</v>
      </c>
      <c r="W63" s="848" t="str">
        <f t="shared" ref="W63:W69" si="23">IF(C62="","",IF(H62="QS","QS",D62&amp;" "&amp;E62))</f>
        <v>4.5 cl</v>
      </c>
      <c r="X63" s="81">
        <f t="shared" ref="X63:X69" si="24">IF(AN63="","",AN63)</f>
        <v>540</v>
      </c>
      <c r="Y63" s="836" t="str">
        <f t="shared" ref="Y63:Y69" si="25">IF(C62="","",IF(H62="QS","Qt. suffisante",IF(AN63="","",IF(AJ63="VOLUME",IF(AN63&gt;=1000,TEXT(AO63,"0.00")&amp;" "&amp;AP63,IF(AN63&gt;=10,TEXT(AO63,"0.0")&amp;" "&amp;AP63&amp;" ► "&amp;TEXT(AN63/1000,"0.000")&amp;" L",TEXT(AO63,"0.0")&amp;" "&amp;AP63)),IF(AJ63="MASSE",TEXT(AO63,"0.00")&amp;" "&amp;AP63,AO63&amp;" "&amp;AP63)))))</f>
        <v>54.0 cl ► 0.540 L</v>
      </c>
      <c r="Z63" s="839" t="str">
        <f>IF(OR(C62="",AJ63&lt;&gt;"VOLUME",AN70=0),"","≈ "&amp;TEXT(ROUND(AN63/AN70*10*2,0)/2,"0.0")&amp;"/10")</f>
        <v>≈ 3.5/10</v>
      </c>
      <c r="AA63" s="82" t="str">
        <f t="shared" ref="AA63:AA69" si="26">IF(AJ63="AUTRE",AO63,"")</f>
        <v/>
      </c>
      <c r="AB63" s="83" t="str">
        <f t="shared" ref="AB63:AB69" si="27">IF(C62="","",AP63)</f>
        <v>cl</v>
      </c>
      <c r="AC63" s="842">
        <f t="shared" ref="AC63:AC69" si="28">IF(C62="","",AQ63)</f>
        <v>216</v>
      </c>
      <c r="AD63" s="163">
        <f t="shared" ref="AD63:AD69" si="29">IF(C62="","",IF(ISNUMBER(F62),F62,0))</f>
        <v>40</v>
      </c>
      <c r="AE63" s="164">
        <f t="shared" ref="AE63:AE69" si="30">IF(C62="","",IF(ISNUMBER(I62),I62,""))</f>
        <v>18</v>
      </c>
      <c r="AF63" s="855">
        <f t="shared" ref="AF63:AF69" si="31">IF(C62="","",AR63)</f>
        <v>9.7200000000000006</v>
      </c>
      <c r="AH63" s="84">
        <f t="shared" ref="AH63:AH69" si="32">IF(C62="","",B62)</f>
        <v>1</v>
      </c>
      <c r="AI63" s="85" t="str">
        <f t="shared" ref="AI63:AI69" si="33">IF(C62="","",C62)</f>
        <v>Rhum blanc</v>
      </c>
      <c r="AJ63" s="84" t="str">
        <f t="shared" ref="AJ63:AJ69" si="34">IF(C62="","",IFERROR(VLOOKUP(E62,$AU$5:$AY$121,2,FALSE),"UNITÉ ?"))</f>
        <v>VOLUME</v>
      </c>
      <c r="AK63" s="84">
        <f t="shared" ref="AK63:AK69" si="35">IF(C62="","",IFERROR(VLOOKUP(E62,$AU$5:$AY$121,3,FALSE),""))</f>
        <v>10</v>
      </c>
      <c r="AL63" s="84">
        <f t="shared" ref="AL63:AL69" si="36">IF(OR(C62="",H62="QS",NOT(ISNUMBER(D62))),"",D62*AK63)</f>
        <v>45</v>
      </c>
      <c r="AM63" s="84">
        <f>IF(C62="","",R55)</f>
        <v>12</v>
      </c>
      <c r="AN63" s="84">
        <f t="shared" ref="AN63:AN69" si="37">IF(C62="","",IF(H62="QS","",IF(AL63="","",IF(OR(H62="F",H62="FIXE"),AL63,AL63*AM63))))</f>
        <v>540</v>
      </c>
      <c r="AO63" s="84">
        <f t="shared" ref="AO63:AO69" si="38">IF(C62="","",IF(H62="QS","",IF(AN63="","",IF(AJ63="VOLUME",IF(AN63&gt;=1000,ROUND(AN63/1000,2),IF(AN63&gt;=10,ROUND(AN63/10,1),ROUND(AN63,1))),IF(AJ63="MASSE",IF(AN63&gt;=1000,ROUND(AN63/1000,2),ROUND(AN63,0)),ROUND(AN63,2))))))</f>
        <v>54</v>
      </c>
      <c r="AP63" s="84" t="str">
        <f t="shared" ref="AP63:AP69" si="39">IF(C62="","",IF(H62="QS","",IF(AN63="","",IF(AJ63="VOLUME",IF(AN63&gt;=1000,"L",IF(AN63&gt;=10,"cl","ml")),IF(AJ63="MASSE",IF(AN63&gt;=1000,"Kg","g"),IFERROR(VLOOKUP(E62,$AU$5:$AY$121,5,FALSE),E62))))))</f>
        <v>cl</v>
      </c>
      <c r="AQ63" s="84">
        <f t="shared" ref="AQ63:AQ69" si="40">IF(C62="","",IF(OR(AJ63&lt;&gt;"VOLUME",NOT(ISNUMBER(F62)),AN63=""),0,AN63*F62/100))</f>
        <v>216</v>
      </c>
      <c r="AR63" s="84">
        <f t="shared" ref="AR63:AR69" si="41">IF(C62="","",IF(H62="QS",0,IF(NOT(ISNUMBER(I62)),0,IF(OR(AJ63="VOLUME",AJ63="MASSE"),AN63/1000*I62,AN63*I62))))</f>
        <v>9.7200000000000006</v>
      </c>
      <c r="AS63" s="84" t="str">
        <f t="shared" ref="AS63:AS69" si="42">IF(C62="","",IF(H62="QS","OK",IF(NOT(ISNUMBER(D62)),"QUANTITÉ ?",IF(E62="","UNITÉ ?",IF(AJ63="UNITÉ ?","UNITÉ ?",IF(AND(H62&lt;&gt;"",H62&lt;&gt;"PROP",H62&lt;&gt;"F",H62&lt;&gt;"FIXE",H62&lt;&gt;"QS"),"RÈGLE ?","OK"))))))</f>
        <v>OK</v>
      </c>
      <c r="AU63" s="39" t="s">
        <v>183</v>
      </c>
      <c r="AV63" s="17" t="s">
        <v>21</v>
      </c>
      <c r="AW63" s="17">
        <v>570</v>
      </c>
      <c r="AX63" s="17" t="s">
        <v>22</v>
      </c>
      <c r="AY63" s="17" t="s">
        <v>317</v>
      </c>
      <c r="AZ63" s="174" t="s">
        <v>276</v>
      </c>
      <c r="BB63" s="4"/>
      <c r="BC63" s="4"/>
    </row>
    <row r="64" spans="1:55" ht="24.95" customHeight="1">
      <c r="A64" s="712"/>
      <c r="B64" s="731">
        <v>3</v>
      </c>
      <c r="C64" s="70" t="s">
        <v>7281</v>
      </c>
      <c r="D64" s="79">
        <v>1.5</v>
      </c>
      <c r="E64" s="18" t="s">
        <v>32</v>
      </c>
      <c r="F64" s="72">
        <v>0</v>
      </c>
      <c r="G64" s="732">
        <v>1.3</v>
      </c>
      <c r="H64" s="733" t="s">
        <v>156</v>
      </c>
      <c r="I64" s="161">
        <v>4</v>
      </c>
      <c r="J64" s="73"/>
      <c r="K64" s="73"/>
      <c r="L64" s="73"/>
      <c r="M64" s="74"/>
      <c r="N64" s="3"/>
      <c r="O64" s="39" t="s">
        <v>318</v>
      </c>
      <c r="V64" s="846" t="str">
        <f t="shared" si="22"/>
        <v>Jus de citron vert</v>
      </c>
      <c r="W64" s="848" t="str">
        <f t="shared" si="23"/>
        <v>2 cl</v>
      </c>
      <c r="X64" s="81">
        <f t="shared" si="24"/>
        <v>240</v>
      </c>
      <c r="Y64" s="836" t="str">
        <f t="shared" si="25"/>
        <v>24.0 cl ► 0.240 L</v>
      </c>
      <c r="Z64" s="839" t="str">
        <f>IF(OR(C63="",AJ64&lt;&gt;"VOLUME",AN70=0),"","≈ "&amp;TEXT(ROUND(AN64/AN70*10*2,0)/2,"0.0")&amp;"/10")</f>
        <v>≈ 1.5/10</v>
      </c>
      <c r="AA64" s="82" t="str">
        <f t="shared" si="26"/>
        <v/>
      </c>
      <c r="AB64" s="83" t="str">
        <f t="shared" si="27"/>
        <v>cl</v>
      </c>
      <c r="AC64" s="842">
        <f t="shared" si="28"/>
        <v>0</v>
      </c>
      <c r="AD64" s="163">
        <f t="shared" si="29"/>
        <v>0</v>
      </c>
      <c r="AE64" s="164">
        <f t="shared" si="30"/>
        <v>3</v>
      </c>
      <c r="AF64" s="855">
        <f t="shared" si="31"/>
        <v>0.72</v>
      </c>
      <c r="AH64" s="84">
        <f t="shared" si="32"/>
        <v>2</v>
      </c>
      <c r="AI64" s="85" t="str">
        <f t="shared" si="33"/>
        <v>Jus de citron vert</v>
      </c>
      <c r="AJ64" s="84" t="str">
        <f t="shared" si="34"/>
        <v>VOLUME</v>
      </c>
      <c r="AK64" s="84">
        <f t="shared" si="35"/>
        <v>10</v>
      </c>
      <c r="AL64" s="84">
        <f t="shared" si="36"/>
        <v>20</v>
      </c>
      <c r="AM64" s="84">
        <f>IF(C63="","",R55)</f>
        <v>12</v>
      </c>
      <c r="AN64" s="84">
        <f t="shared" si="37"/>
        <v>240</v>
      </c>
      <c r="AO64" s="84">
        <f t="shared" si="38"/>
        <v>24</v>
      </c>
      <c r="AP64" s="84" t="str">
        <f t="shared" si="39"/>
        <v>cl</v>
      </c>
      <c r="AQ64" s="84">
        <f t="shared" si="40"/>
        <v>0</v>
      </c>
      <c r="AR64" s="84">
        <f t="shared" si="41"/>
        <v>0.72</v>
      </c>
      <c r="AS64" s="84" t="str">
        <f t="shared" si="42"/>
        <v>OK</v>
      </c>
      <c r="AU64" s="39" t="s">
        <v>187</v>
      </c>
      <c r="AV64" s="17" t="s">
        <v>21</v>
      </c>
      <c r="AW64" s="17">
        <v>470</v>
      </c>
      <c r="AX64" s="17" t="s">
        <v>22</v>
      </c>
      <c r="AY64" s="17" t="s">
        <v>319</v>
      </c>
      <c r="AZ64" s="174" t="s">
        <v>276</v>
      </c>
      <c r="BB64" s="4"/>
      <c r="BC64" s="4"/>
    </row>
    <row r="65" spans="1:55" ht="24.95" customHeight="1">
      <c r="A65" s="712"/>
      <c r="B65" s="734">
        <v>4</v>
      </c>
      <c r="C65" s="70" t="s">
        <v>180</v>
      </c>
      <c r="D65" s="79">
        <v>4.5</v>
      </c>
      <c r="E65" s="18" t="s">
        <v>32</v>
      </c>
      <c r="F65" s="72">
        <v>0</v>
      </c>
      <c r="G65" s="732">
        <v>1</v>
      </c>
      <c r="H65" s="733" t="s">
        <v>156</v>
      </c>
      <c r="I65" s="161">
        <v>0.5</v>
      </c>
      <c r="J65" s="73"/>
      <c r="K65" s="73"/>
      <c r="L65" s="73"/>
      <c r="M65" s="74"/>
      <c r="N65" s="3"/>
      <c r="O65" s="39" t="s">
        <v>320</v>
      </c>
      <c r="Q65" s="744" t="s">
        <v>566</v>
      </c>
      <c r="V65" s="846" t="str">
        <f t="shared" si="22"/>
        <v>Sirop de sucre de canne</v>
      </c>
      <c r="W65" s="848" t="str">
        <f t="shared" si="23"/>
        <v>1.5 cl</v>
      </c>
      <c r="X65" s="81">
        <f t="shared" si="24"/>
        <v>180</v>
      </c>
      <c r="Y65" s="836" t="str">
        <f t="shared" si="25"/>
        <v>18.0 cl ► 0.180 L</v>
      </c>
      <c r="Z65" s="839" t="str">
        <f>IF(OR(C64="",AJ65&lt;&gt;"VOLUME",AN70=0),"","≈ "&amp;TEXT(ROUND(AN65/AN70*10*2,0)/2,"0.0")&amp;"/10")</f>
        <v>≈ 1.0/10</v>
      </c>
      <c r="AA65" s="82" t="str">
        <f t="shared" si="26"/>
        <v/>
      </c>
      <c r="AB65" s="83" t="str">
        <f t="shared" si="27"/>
        <v>cl</v>
      </c>
      <c r="AC65" s="842">
        <f t="shared" si="28"/>
        <v>0</v>
      </c>
      <c r="AD65" s="163">
        <f t="shared" si="29"/>
        <v>0</v>
      </c>
      <c r="AE65" s="164">
        <f t="shared" si="30"/>
        <v>4</v>
      </c>
      <c r="AF65" s="855">
        <f t="shared" si="31"/>
        <v>0.72</v>
      </c>
      <c r="AH65" s="84">
        <f t="shared" si="32"/>
        <v>3</v>
      </c>
      <c r="AI65" s="85" t="str">
        <f t="shared" si="33"/>
        <v>Sirop de sucre de canne</v>
      </c>
      <c r="AJ65" s="84" t="str">
        <f t="shared" si="34"/>
        <v>VOLUME</v>
      </c>
      <c r="AK65" s="84">
        <f t="shared" si="35"/>
        <v>10</v>
      </c>
      <c r="AL65" s="84">
        <f t="shared" si="36"/>
        <v>15</v>
      </c>
      <c r="AM65" s="84">
        <f>IF(C64="","",R55)</f>
        <v>12</v>
      </c>
      <c r="AN65" s="84">
        <f t="shared" si="37"/>
        <v>180</v>
      </c>
      <c r="AO65" s="84">
        <f t="shared" si="38"/>
        <v>18</v>
      </c>
      <c r="AP65" s="84" t="str">
        <f t="shared" si="39"/>
        <v>cl</v>
      </c>
      <c r="AQ65" s="84">
        <f t="shared" si="40"/>
        <v>0</v>
      </c>
      <c r="AR65" s="84">
        <f t="shared" si="41"/>
        <v>0.72</v>
      </c>
      <c r="AS65" s="84" t="str">
        <f t="shared" si="42"/>
        <v>OK</v>
      </c>
      <c r="AU65" s="39" t="s">
        <v>191</v>
      </c>
      <c r="AV65" s="17" t="s">
        <v>21</v>
      </c>
      <c r="AW65" s="17">
        <v>400</v>
      </c>
      <c r="AX65" s="17" t="s">
        <v>22</v>
      </c>
      <c r="AY65" s="17" t="s">
        <v>321</v>
      </c>
      <c r="AZ65" s="174" t="s">
        <v>276</v>
      </c>
      <c r="BB65" s="4"/>
      <c r="BC65" s="4"/>
    </row>
    <row r="66" spans="1:55" ht="24.95" customHeight="1">
      <c r="A66" s="712"/>
      <c r="B66" s="731">
        <v>5</v>
      </c>
      <c r="C66" s="70" t="s">
        <v>7282</v>
      </c>
      <c r="D66" s="79">
        <v>6</v>
      </c>
      <c r="E66" s="53" t="s">
        <v>182</v>
      </c>
      <c r="F66" s="72"/>
      <c r="G66" s="732">
        <v>1</v>
      </c>
      <c r="H66" s="733" t="s">
        <v>156</v>
      </c>
      <c r="I66" s="161">
        <v>0.03</v>
      </c>
      <c r="J66" s="73"/>
      <c r="K66" s="73" t="s">
        <v>7283</v>
      </c>
      <c r="L66" s="73"/>
      <c r="M66" s="74"/>
      <c r="N66" s="3"/>
      <c r="O66" s="39" t="s">
        <v>53</v>
      </c>
      <c r="Q66" s="744"/>
      <c r="V66" s="846" t="str">
        <f t="shared" si="22"/>
        <v>Eau gazeuse</v>
      </c>
      <c r="W66" s="848" t="str">
        <f t="shared" si="23"/>
        <v>4.5 cl</v>
      </c>
      <c r="X66" s="81">
        <f t="shared" si="24"/>
        <v>540</v>
      </c>
      <c r="Y66" s="836" t="str">
        <f t="shared" si="25"/>
        <v>54.0 cl ► 0.540 L</v>
      </c>
      <c r="Z66" s="839" t="str">
        <f>IF(OR(C65="",AJ66&lt;&gt;"VOLUME",AN70=0),"","≈ "&amp;TEXT(ROUND(AN66/AN70*10*2,0)/2,"0.0")&amp;"/10")</f>
        <v>≈ 3.5/10</v>
      </c>
      <c r="AA66" s="82" t="str">
        <f t="shared" si="26"/>
        <v/>
      </c>
      <c r="AB66" s="83" t="str">
        <f t="shared" si="27"/>
        <v>cl</v>
      </c>
      <c r="AC66" s="842">
        <f t="shared" si="28"/>
        <v>0</v>
      </c>
      <c r="AD66" s="163">
        <f t="shared" si="29"/>
        <v>0</v>
      </c>
      <c r="AE66" s="164">
        <f t="shared" si="30"/>
        <v>0.5</v>
      </c>
      <c r="AF66" s="855">
        <f t="shared" si="31"/>
        <v>0.27</v>
      </c>
      <c r="AH66" s="84">
        <f t="shared" si="32"/>
        <v>4</v>
      </c>
      <c r="AI66" s="85" t="str">
        <f t="shared" si="33"/>
        <v>Eau gazeuse</v>
      </c>
      <c r="AJ66" s="84" t="str">
        <f t="shared" si="34"/>
        <v>VOLUME</v>
      </c>
      <c r="AK66" s="84">
        <f t="shared" si="35"/>
        <v>10</v>
      </c>
      <c r="AL66" s="84">
        <f t="shared" si="36"/>
        <v>45</v>
      </c>
      <c r="AM66" s="84">
        <f>IF(C65="","",R55)</f>
        <v>12</v>
      </c>
      <c r="AN66" s="84">
        <f t="shared" si="37"/>
        <v>540</v>
      </c>
      <c r="AO66" s="84">
        <f t="shared" si="38"/>
        <v>54</v>
      </c>
      <c r="AP66" s="84" t="str">
        <f t="shared" si="39"/>
        <v>cl</v>
      </c>
      <c r="AQ66" s="84">
        <f t="shared" si="40"/>
        <v>0</v>
      </c>
      <c r="AR66" s="84">
        <f t="shared" si="41"/>
        <v>0.27</v>
      </c>
      <c r="AS66" s="84" t="str">
        <f t="shared" si="42"/>
        <v>OK</v>
      </c>
      <c r="AU66" s="39" t="s">
        <v>194</v>
      </c>
      <c r="AV66" s="17" t="s">
        <v>21</v>
      </c>
      <c r="AW66" s="17">
        <v>30</v>
      </c>
      <c r="AX66" s="17" t="s">
        <v>22</v>
      </c>
      <c r="AY66" s="17" t="s">
        <v>322</v>
      </c>
      <c r="AZ66" s="174" t="s">
        <v>276</v>
      </c>
      <c r="BB66" s="4"/>
      <c r="BC66" s="4"/>
    </row>
    <row r="67" spans="1:55" ht="24.95" customHeight="1">
      <c r="A67" s="712"/>
      <c r="B67" s="734"/>
      <c r="C67" s="70"/>
      <c r="D67" s="79"/>
      <c r="E67" s="3"/>
      <c r="F67" s="72"/>
      <c r="G67" s="732"/>
      <c r="H67" s="733"/>
      <c r="I67" s="161"/>
      <c r="J67" s="73"/>
      <c r="K67" s="73"/>
      <c r="L67" s="73"/>
      <c r="M67" s="74"/>
      <c r="N67" s="3"/>
      <c r="O67" s="39" t="s">
        <v>58</v>
      </c>
      <c r="V67" s="846" t="str">
        <f t="shared" si="22"/>
        <v>Menthe fraîche</v>
      </c>
      <c r="W67" s="848" t="str">
        <f t="shared" si="23"/>
        <v>6 feuille(s)</v>
      </c>
      <c r="X67" s="81">
        <f t="shared" si="24"/>
        <v>72</v>
      </c>
      <c r="Y67" s="836" t="str">
        <f t="shared" si="25"/>
        <v>72 feuille(s)</v>
      </c>
      <c r="Z67" s="839" t="str">
        <f>IF(OR(C66="",AJ67&lt;&gt;"VOLUME",AN70=0),"","≈ "&amp;TEXT(ROUND(AN67/AN70*10*2,0)/2,"0.0")&amp;"/10")</f>
        <v/>
      </c>
      <c r="AA67" s="80">
        <f t="shared" si="26"/>
        <v>72</v>
      </c>
      <c r="AB67" s="83" t="str">
        <f t="shared" si="27"/>
        <v>feuille(s)</v>
      </c>
      <c r="AC67" s="842">
        <f t="shared" si="28"/>
        <v>0</v>
      </c>
      <c r="AD67" s="163">
        <f t="shared" si="29"/>
        <v>0</v>
      </c>
      <c r="AE67" s="164">
        <f t="shared" si="30"/>
        <v>0.03</v>
      </c>
      <c r="AF67" s="855">
        <f t="shared" si="31"/>
        <v>2.16</v>
      </c>
      <c r="AH67" s="84">
        <f t="shared" si="32"/>
        <v>5</v>
      </c>
      <c r="AI67" s="85" t="str">
        <f t="shared" si="33"/>
        <v>Menthe fraîche</v>
      </c>
      <c r="AJ67" s="84" t="str">
        <f t="shared" si="34"/>
        <v>AUTRE</v>
      </c>
      <c r="AK67" s="84">
        <f t="shared" si="35"/>
        <v>1</v>
      </c>
      <c r="AL67" s="84">
        <f t="shared" si="36"/>
        <v>6</v>
      </c>
      <c r="AM67" s="84">
        <f>IF(C66="","",R55)</f>
        <v>12</v>
      </c>
      <c r="AN67" s="84">
        <f t="shared" si="37"/>
        <v>72</v>
      </c>
      <c r="AO67" s="84">
        <f t="shared" si="38"/>
        <v>72</v>
      </c>
      <c r="AP67" s="84" t="str">
        <f t="shared" si="39"/>
        <v>feuille(s)</v>
      </c>
      <c r="AQ67" s="84">
        <f t="shared" si="40"/>
        <v>0</v>
      </c>
      <c r="AR67" s="84">
        <f t="shared" si="41"/>
        <v>2.16</v>
      </c>
      <c r="AS67" s="84" t="str">
        <f t="shared" si="42"/>
        <v>OK</v>
      </c>
      <c r="AU67" s="39" t="s">
        <v>201</v>
      </c>
      <c r="AV67" s="17" t="s">
        <v>21</v>
      </c>
      <c r="AW67" s="17">
        <v>300</v>
      </c>
      <c r="AX67" s="17" t="s">
        <v>22</v>
      </c>
      <c r="AY67" s="17" t="s">
        <v>323</v>
      </c>
      <c r="AZ67" s="174" t="s">
        <v>276</v>
      </c>
      <c r="BB67" s="4"/>
      <c r="BC67" s="4"/>
    </row>
    <row r="68" spans="1:55" ht="24.95" customHeight="1">
      <c r="A68" s="712"/>
      <c r="B68" s="731"/>
      <c r="C68" s="70"/>
      <c r="D68" s="79"/>
      <c r="E68" s="3"/>
      <c r="F68" s="72"/>
      <c r="G68" s="732"/>
      <c r="H68" s="733"/>
      <c r="I68" s="161"/>
      <c r="J68" s="73"/>
      <c r="K68" s="73"/>
      <c r="L68" s="73"/>
      <c r="M68" s="74"/>
      <c r="N68" s="3"/>
      <c r="O68" s="39" t="s">
        <v>79</v>
      </c>
      <c r="Q68" s="355" t="s">
        <v>558</v>
      </c>
      <c r="V68" s="847" t="str">
        <f t="shared" si="22"/>
        <v/>
      </c>
      <c r="W68" s="849" t="str">
        <f t="shared" si="23"/>
        <v/>
      </c>
      <c r="X68" s="86" t="str">
        <f t="shared" si="24"/>
        <v/>
      </c>
      <c r="Y68" s="837" t="str">
        <f t="shared" si="25"/>
        <v/>
      </c>
      <c r="Z68" s="840" t="str">
        <f>IF(OR(C67="",AJ68&lt;&gt;"VOLUME",AN70=0),"","≈ "&amp;TEXT(ROUND(AN68/AN70*10*2,0)/2,"0.0")&amp;"/10")</f>
        <v/>
      </c>
      <c r="AA68" s="87" t="str">
        <f t="shared" si="26"/>
        <v/>
      </c>
      <c r="AB68" s="88" t="str">
        <f t="shared" si="27"/>
        <v/>
      </c>
      <c r="AC68" s="843" t="str">
        <f t="shared" si="28"/>
        <v/>
      </c>
      <c r="AD68" s="88" t="str">
        <f t="shared" si="29"/>
        <v/>
      </c>
      <c r="AE68" s="88" t="str">
        <f t="shared" si="30"/>
        <v/>
      </c>
      <c r="AF68" s="834" t="str">
        <f t="shared" si="31"/>
        <v/>
      </c>
      <c r="AH68" s="84" t="str">
        <f t="shared" si="32"/>
        <v/>
      </c>
      <c r="AI68" s="85" t="str">
        <f t="shared" si="33"/>
        <v/>
      </c>
      <c r="AJ68" s="84" t="str">
        <f t="shared" si="34"/>
        <v/>
      </c>
      <c r="AK68" s="84" t="str">
        <f t="shared" si="35"/>
        <v/>
      </c>
      <c r="AL68" s="84" t="str">
        <f t="shared" si="36"/>
        <v/>
      </c>
      <c r="AM68" s="84" t="str">
        <f>IF(C67="","",R55)</f>
        <v/>
      </c>
      <c r="AN68" s="84" t="str">
        <f t="shared" si="37"/>
        <v/>
      </c>
      <c r="AO68" s="84" t="str">
        <f t="shared" si="38"/>
        <v/>
      </c>
      <c r="AP68" s="84" t="str">
        <f t="shared" si="39"/>
        <v/>
      </c>
      <c r="AQ68" s="84" t="str">
        <f t="shared" si="40"/>
        <v/>
      </c>
      <c r="AR68" s="84" t="str">
        <f t="shared" si="41"/>
        <v/>
      </c>
      <c r="AS68" s="84" t="str">
        <f t="shared" si="42"/>
        <v/>
      </c>
      <c r="AU68" s="39" t="s">
        <v>205</v>
      </c>
      <c r="AV68" s="17" t="s">
        <v>21</v>
      </c>
      <c r="AW68" s="17">
        <v>200</v>
      </c>
      <c r="AX68" s="17" t="s">
        <v>22</v>
      </c>
      <c r="AY68" s="17" t="s">
        <v>324</v>
      </c>
      <c r="AZ68" s="174" t="s">
        <v>276</v>
      </c>
      <c r="BB68" s="4"/>
      <c r="BC68" s="4"/>
    </row>
    <row r="69" spans="1:55" ht="24.95" customHeight="1">
      <c r="A69" s="712"/>
      <c r="B69" s="14" t="s">
        <v>44</v>
      </c>
      <c r="C69" s="146" t="s">
        <v>198</v>
      </c>
      <c r="D69" s="89"/>
      <c r="E69" s="89"/>
      <c r="F69" s="89"/>
      <c r="G69" s="89"/>
      <c r="H69" s="89"/>
      <c r="I69" s="89"/>
      <c r="J69" s="89"/>
      <c r="K69" s="89"/>
      <c r="L69" s="89"/>
      <c r="M69" s="90"/>
      <c r="N69" s="3"/>
      <c r="O69" s="39" t="s">
        <v>109</v>
      </c>
      <c r="Q69"/>
      <c r="V69" s="847" t="str">
        <f t="shared" si="22"/>
        <v/>
      </c>
      <c r="W69" s="849" t="str">
        <f t="shared" si="23"/>
        <v/>
      </c>
      <c r="X69" s="86" t="str">
        <f t="shared" si="24"/>
        <v/>
      </c>
      <c r="Y69" s="837" t="str">
        <f t="shared" si="25"/>
        <v/>
      </c>
      <c r="Z69" s="840" t="str">
        <f>IF(OR(C68="",AJ69&lt;&gt;"VOLUME",AN70=0),"","≈ "&amp;TEXT(ROUND(AN69/AN70*10*2,0)/2,"0.0")&amp;"/10")</f>
        <v/>
      </c>
      <c r="AA69" s="87" t="str">
        <f t="shared" si="26"/>
        <v/>
      </c>
      <c r="AB69" s="88" t="str">
        <f t="shared" si="27"/>
        <v/>
      </c>
      <c r="AC69" s="843" t="str">
        <f t="shared" si="28"/>
        <v/>
      </c>
      <c r="AD69" s="88" t="str">
        <f t="shared" si="29"/>
        <v/>
      </c>
      <c r="AE69" s="88" t="str">
        <f t="shared" si="30"/>
        <v/>
      </c>
      <c r="AF69" s="834" t="str">
        <f t="shared" si="31"/>
        <v/>
      </c>
      <c r="AH69" s="84" t="str">
        <f t="shared" si="32"/>
        <v/>
      </c>
      <c r="AI69" s="85" t="str">
        <f t="shared" si="33"/>
        <v/>
      </c>
      <c r="AJ69" s="84" t="str">
        <f t="shared" si="34"/>
        <v/>
      </c>
      <c r="AK69" s="84" t="str">
        <f t="shared" si="35"/>
        <v/>
      </c>
      <c r="AL69" s="84" t="str">
        <f t="shared" si="36"/>
        <v/>
      </c>
      <c r="AM69" s="84" t="str">
        <f>IF(C68="","",R55)</f>
        <v/>
      </c>
      <c r="AN69" s="84" t="str">
        <f t="shared" si="37"/>
        <v/>
      </c>
      <c r="AO69" s="84" t="str">
        <f t="shared" si="38"/>
        <v/>
      </c>
      <c r="AP69" s="84" t="str">
        <f t="shared" si="39"/>
        <v/>
      </c>
      <c r="AQ69" s="84" t="str">
        <f t="shared" si="40"/>
        <v/>
      </c>
      <c r="AR69" s="84" t="str">
        <f t="shared" si="41"/>
        <v/>
      </c>
      <c r="AS69" s="84" t="str">
        <f t="shared" si="42"/>
        <v/>
      </c>
      <c r="AU69" s="39" t="s">
        <v>211</v>
      </c>
      <c r="AV69" s="17" t="s">
        <v>21</v>
      </c>
      <c r="AW69" s="17">
        <v>250</v>
      </c>
      <c r="AX69" s="17" t="s">
        <v>22</v>
      </c>
      <c r="AY69" s="17" t="s">
        <v>325</v>
      </c>
      <c r="AZ69" s="174" t="s">
        <v>276</v>
      </c>
      <c r="BB69" s="4"/>
      <c r="BC69" s="4"/>
    </row>
    <row r="70" spans="1:55" ht="24.95" customHeight="1">
      <c r="A70" s="712"/>
      <c r="B70" s="91">
        <v>0</v>
      </c>
      <c r="C70" s="10" t="s">
        <v>491</v>
      </c>
      <c r="D70" s="11"/>
      <c r="E70" s="11"/>
      <c r="F70" s="11"/>
      <c r="G70" s="11"/>
      <c r="H70" s="11"/>
      <c r="I70" s="11"/>
      <c r="J70" s="11"/>
      <c r="K70" s="11"/>
      <c r="L70" s="11"/>
      <c r="M70" s="92"/>
      <c r="N70" s="3"/>
      <c r="O70" s="39" t="s">
        <v>326</v>
      </c>
      <c r="Q70" s="29" t="s">
        <v>70</v>
      </c>
      <c r="V70" s="851" t="s">
        <v>203</v>
      </c>
      <c r="W70" s="93"/>
      <c r="X70" s="845">
        <f>AN70</f>
        <v>1500</v>
      </c>
      <c r="Y70" s="835" t="str">
        <f>IF(AN70=0,"",TEXT(AN70/1000,"0.000")&amp;" L")</f>
        <v>1.500 L</v>
      </c>
      <c r="Z70" s="857"/>
      <c r="AA70" s="93"/>
      <c r="AB70" s="93"/>
      <c r="AC70" s="832">
        <f>AQ70</f>
        <v>216</v>
      </c>
      <c r="AD70" s="844">
        <f>IF(AN70=0,"",AQ70/AN70*100)</f>
        <v>14.399999999999999</v>
      </c>
      <c r="AE70" s="93"/>
      <c r="AF70" s="856">
        <f>AR70</f>
        <v>13.590000000000002</v>
      </c>
      <c r="AH70" s="94" t="s">
        <v>203</v>
      </c>
      <c r="AI70" s="94"/>
      <c r="AJ70" s="94"/>
      <c r="AK70" s="94"/>
      <c r="AL70" s="94"/>
      <c r="AM70" s="94"/>
      <c r="AN70" s="94">
        <f>SUMIF(AJ63:AJ69,"VOLUME",AN63:AN69)</f>
        <v>1500</v>
      </c>
      <c r="AO70" s="94"/>
      <c r="AP70" s="94"/>
      <c r="AQ70" s="94">
        <f>SUM(AQ63:AQ69)</f>
        <v>216</v>
      </c>
      <c r="AR70" s="94">
        <f>SUM(AR63:AR69)</f>
        <v>13.590000000000002</v>
      </c>
      <c r="AS70" s="94" t="str">
        <f>IF(COUNTIF(AS63:AS69,"&lt;&gt;OK")-COUNTBLANK(AS63:AS69)=0,"OK","À CONTRÔLER")</f>
        <v>OK</v>
      </c>
      <c r="AU70" s="39" t="s">
        <v>216</v>
      </c>
      <c r="AV70" s="17" t="s">
        <v>21</v>
      </c>
      <c r="AW70" s="17">
        <v>300</v>
      </c>
      <c r="AX70" s="17" t="s">
        <v>22</v>
      </c>
      <c r="AY70" s="17" t="s">
        <v>327</v>
      </c>
      <c r="AZ70" s="174" t="s">
        <v>276</v>
      </c>
      <c r="BB70" s="4"/>
      <c r="BC70" s="4"/>
    </row>
    <row r="71" spans="1:55" ht="24.95" customHeight="1">
      <c r="A71" s="712"/>
      <c r="B71" s="95">
        <v>1</v>
      </c>
      <c r="C71" s="96" t="s">
        <v>7284</v>
      </c>
      <c r="D71" s="96"/>
      <c r="E71" s="96"/>
      <c r="F71" s="96"/>
      <c r="G71" s="96"/>
      <c r="H71" s="96"/>
      <c r="I71" s="96"/>
      <c r="J71" s="96"/>
      <c r="K71" s="96"/>
      <c r="L71" s="96"/>
      <c r="M71" s="74"/>
      <c r="N71" s="3"/>
      <c r="O71" s="39" t="s">
        <v>120</v>
      </c>
      <c r="Q71" s="184"/>
      <c r="V71" s="832" t="s">
        <v>208</v>
      </c>
      <c r="W71" s="19" t="s">
        <v>209</v>
      </c>
      <c r="X71" s="36"/>
      <c r="Y71" s="858"/>
      <c r="Z71" s="859"/>
      <c r="AA71" s="97"/>
      <c r="AB71" s="97"/>
      <c r="AC71" s="97"/>
      <c r="AD71" s="97"/>
      <c r="AE71" s="97"/>
      <c r="AF71" s="860"/>
      <c r="AH71" s="3" t="s">
        <v>6994</v>
      </c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U71" s="39" t="s">
        <v>83</v>
      </c>
      <c r="AV71" s="17" t="s">
        <v>21</v>
      </c>
      <c r="AW71" s="17">
        <v>240</v>
      </c>
      <c r="AX71" s="17" t="s">
        <v>22</v>
      </c>
      <c r="AY71" s="17" t="s">
        <v>328</v>
      </c>
      <c r="AZ71" s="174" t="s">
        <v>276</v>
      </c>
      <c r="BB71" s="4"/>
      <c r="BC71" s="4"/>
    </row>
    <row r="72" spans="1:55" ht="24.95" customHeight="1">
      <c r="A72" s="712"/>
      <c r="B72" s="95">
        <v>2</v>
      </c>
      <c r="C72" s="96" t="s">
        <v>7285</v>
      </c>
      <c r="D72" s="96"/>
      <c r="E72" s="96"/>
      <c r="F72" s="96"/>
      <c r="G72" s="96"/>
      <c r="H72" s="96"/>
      <c r="I72" s="96"/>
      <c r="J72" s="96"/>
      <c r="K72" s="96"/>
      <c r="L72" s="96"/>
      <c r="M72" s="74"/>
      <c r="N72" s="3"/>
      <c r="O72" s="39" t="s">
        <v>130</v>
      </c>
      <c r="P72" s="3"/>
      <c r="Q72" s="29" t="s">
        <v>584</v>
      </c>
      <c r="V72" s="98" t="str">
        <f t="shared" ref="V72:V79" si="43">IF(C71="","",C71)</f>
        <v>Préparer le Highball et le poste de travail.</v>
      </c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H72" s="146" t="s">
        <v>214</v>
      </c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3"/>
      <c r="AU72" s="39" t="s">
        <v>227</v>
      </c>
      <c r="AV72" s="17" t="s">
        <v>21</v>
      </c>
      <c r="AW72" s="17">
        <v>60</v>
      </c>
      <c r="AX72" s="17" t="s">
        <v>22</v>
      </c>
      <c r="AY72" s="17" t="s">
        <v>329</v>
      </c>
      <c r="AZ72" s="174" t="s">
        <v>276</v>
      </c>
      <c r="BB72" s="4"/>
      <c r="BC72" s="4"/>
    </row>
    <row r="73" spans="1:55" ht="24.95" customHeight="1">
      <c r="A73" s="712"/>
      <c r="B73" s="95">
        <v>3</v>
      </c>
      <c r="C73" s="96" t="s">
        <v>7286</v>
      </c>
      <c r="D73" s="96"/>
      <c r="E73" s="96"/>
      <c r="F73" s="96"/>
      <c r="G73" s="96"/>
      <c r="H73" s="96"/>
      <c r="I73" s="96"/>
      <c r="J73" s="96"/>
      <c r="K73" s="96"/>
      <c r="L73" s="96"/>
      <c r="M73" s="74"/>
      <c r="N73" s="3"/>
      <c r="O73" s="39" t="s">
        <v>140</v>
      </c>
      <c r="P73" s="3"/>
      <c r="Q73"/>
      <c r="R73" s="3"/>
      <c r="S73" s="3"/>
      <c r="T73" s="3"/>
      <c r="U73" s="3"/>
      <c r="V73" s="98" t="str">
        <f t="shared" si="43"/>
        <v>Déposer la menthe dans le verre sans la broyer excessivement.</v>
      </c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H73" s="165" t="s">
        <v>219</v>
      </c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U73" s="39" t="s">
        <v>238</v>
      </c>
      <c r="AV73" s="17" t="s">
        <v>21</v>
      </c>
      <c r="AW73" s="17">
        <v>200</v>
      </c>
      <c r="AX73" s="17" t="s">
        <v>22</v>
      </c>
      <c r="AY73" s="17" t="s">
        <v>330</v>
      </c>
      <c r="AZ73" s="174" t="s">
        <v>276</v>
      </c>
      <c r="BB73" s="4"/>
      <c r="BC73" s="4"/>
    </row>
    <row r="74" spans="1:55" ht="24.95" customHeight="1">
      <c r="A74" s="712"/>
      <c r="B74" s="95">
        <v>4</v>
      </c>
      <c r="C74" s="96" t="s">
        <v>7287</v>
      </c>
      <c r="D74" s="96"/>
      <c r="E74" s="96"/>
      <c r="F74" s="96"/>
      <c r="G74" s="96"/>
      <c r="H74" s="96"/>
      <c r="I74" s="96"/>
      <c r="J74" s="96"/>
      <c r="K74" s="96"/>
      <c r="L74" s="96"/>
      <c r="M74" s="74"/>
      <c r="N74" s="3"/>
      <c r="O74" s="39" t="s">
        <v>331</v>
      </c>
      <c r="P74" s="3"/>
      <c r="Q74" s="356" t="s">
        <v>564</v>
      </c>
      <c r="R74" s="3"/>
      <c r="S74" s="3"/>
      <c r="T74" s="3"/>
      <c r="U74" s="3"/>
      <c r="V74" s="98" t="str">
        <f t="shared" si="43"/>
        <v>Ajouter le jus de citron vert et le sirop de sucre.</v>
      </c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H74" s="166" t="s">
        <v>222</v>
      </c>
      <c r="AI74" s="167" t="s">
        <v>223</v>
      </c>
      <c r="AJ74" s="165"/>
      <c r="AK74" s="167" t="s">
        <v>224</v>
      </c>
      <c r="AL74" s="165"/>
      <c r="AM74" s="165"/>
      <c r="AN74" s="165"/>
      <c r="AO74" s="167" t="s">
        <v>225</v>
      </c>
      <c r="AP74" s="165"/>
      <c r="AQ74" s="165"/>
      <c r="AR74" s="165"/>
      <c r="AU74" s="39" t="s">
        <v>93</v>
      </c>
      <c r="AV74" s="17" t="s">
        <v>21</v>
      </c>
      <c r="AW74" s="17">
        <v>360</v>
      </c>
      <c r="AX74" s="17" t="s">
        <v>22</v>
      </c>
      <c r="AY74" s="17" t="s">
        <v>332</v>
      </c>
      <c r="AZ74" s="174" t="s">
        <v>276</v>
      </c>
      <c r="BB74" s="4"/>
      <c r="BC74" s="4"/>
    </row>
    <row r="75" spans="1:55" ht="24.95" customHeight="1">
      <c r="A75" s="712"/>
      <c r="B75" s="95">
        <v>5</v>
      </c>
      <c r="C75" s="96" t="s">
        <v>7288</v>
      </c>
      <c r="D75" s="96"/>
      <c r="E75" s="96"/>
      <c r="F75" s="96"/>
      <c r="G75" s="96"/>
      <c r="H75" s="96"/>
      <c r="I75" s="96"/>
      <c r="J75" s="96"/>
      <c r="K75" s="96"/>
      <c r="L75" s="96"/>
      <c r="M75" s="74"/>
      <c r="N75" s="3"/>
      <c r="O75" s="39" t="s">
        <v>333</v>
      </c>
      <c r="P75" s="3"/>
      <c r="Q75"/>
      <c r="R75" s="3"/>
      <c r="S75" s="3"/>
      <c r="T75" s="3"/>
      <c r="U75" s="3"/>
      <c r="V75" s="98" t="str">
        <f t="shared" si="43"/>
        <v>Verser le rhum blanc.</v>
      </c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H75" s="750" t="s">
        <v>156</v>
      </c>
      <c r="AI75" s="748" t="s">
        <v>230</v>
      </c>
      <c r="AJ75" s="748"/>
      <c r="AK75" s="749" t="s">
        <v>231</v>
      </c>
      <c r="AL75" s="749"/>
      <c r="AM75" s="749"/>
      <c r="AN75" s="749"/>
      <c r="AO75" s="746" t="s">
        <v>232</v>
      </c>
      <c r="AP75" s="746"/>
      <c r="AQ75" s="746"/>
      <c r="AR75" s="746"/>
      <c r="AU75" s="39" t="s">
        <v>251</v>
      </c>
      <c r="AV75" s="17" t="s">
        <v>21</v>
      </c>
      <c r="AW75" s="17">
        <v>5</v>
      </c>
      <c r="AX75" s="17" t="s">
        <v>22</v>
      </c>
      <c r="AY75" s="17" t="s">
        <v>251</v>
      </c>
      <c r="AZ75" s="153" t="s">
        <v>108</v>
      </c>
      <c r="BB75" s="4"/>
      <c r="BC75" s="4"/>
    </row>
    <row r="76" spans="1:55" ht="24.95" customHeight="1">
      <c r="A76" s="712"/>
      <c r="B76" s="95">
        <v>6</v>
      </c>
      <c r="C76" s="96" t="s">
        <v>7289</v>
      </c>
      <c r="D76" s="96"/>
      <c r="E76" s="96"/>
      <c r="F76" s="96"/>
      <c r="G76" s="96"/>
      <c r="H76" s="96"/>
      <c r="I76" s="96"/>
      <c r="J76" s="96"/>
      <c r="K76" s="96"/>
      <c r="L76" s="96"/>
      <c r="M76" s="74"/>
      <c r="N76" s="3"/>
      <c r="O76" s="39" t="s">
        <v>334</v>
      </c>
      <c r="P76" s="3"/>
      <c r="Q76" s="356" t="s">
        <v>72</v>
      </c>
      <c r="R76" s="3"/>
      <c r="S76" s="3"/>
      <c r="T76" s="3"/>
      <c r="U76" s="3"/>
      <c r="V76" s="98" t="str">
        <f t="shared" si="43"/>
        <v>Remplir le verre de glace pilée ou de glaçons.</v>
      </c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H76" s="750"/>
      <c r="AI76" s="748"/>
      <c r="AJ76" s="748"/>
      <c r="AK76" s="749"/>
      <c r="AL76" s="749"/>
      <c r="AM76" s="749"/>
      <c r="AN76" s="749"/>
      <c r="AO76" s="746"/>
      <c r="AP76" s="746"/>
      <c r="AQ76" s="746"/>
      <c r="AR76" s="746"/>
      <c r="AU76" s="39" t="s">
        <v>302</v>
      </c>
      <c r="AV76" s="17" t="s">
        <v>21</v>
      </c>
      <c r="AW76" s="17">
        <v>1</v>
      </c>
      <c r="AX76" s="17" t="s">
        <v>22</v>
      </c>
      <c r="AY76" s="17" t="s">
        <v>335</v>
      </c>
      <c r="AZ76" s="153" t="s">
        <v>108</v>
      </c>
      <c r="BB76" s="4"/>
      <c r="BC76" s="4"/>
    </row>
    <row r="77" spans="1:55" ht="24.95" customHeight="1">
      <c r="A77" s="712"/>
      <c r="B77" s="95">
        <v>7</v>
      </c>
      <c r="C77" s="96" t="s">
        <v>7290</v>
      </c>
      <c r="D77" s="96"/>
      <c r="E77" s="96"/>
      <c r="F77" s="96"/>
      <c r="G77" s="96"/>
      <c r="H77" s="96"/>
      <c r="I77" s="96"/>
      <c r="J77" s="96"/>
      <c r="K77" s="96"/>
      <c r="L77" s="96"/>
      <c r="M77" s="74"/>
      <c r="N77" s="3"/>
      <c r="O77" s="39" t="s">
        <v>336</v>
      </c>
      <c r="P77" s="3"/>
      <c r="Q77"/>
      <c r="R77" s="3"/>
      <c r="S77" s="3"/>
      <c r="T77" s="3"/>
      <c r="U77" s="3"/>
      <c r="V77" s="98" t="str">
        <f t="shared" si="43"/>
        <v>Compléter avec l’eau gazeuse.</v>
      </c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H77" s="747" t="s">
        <v>492</v>
      </c>
      <c r="AI77" s="748" t="s">
        <v>241</v>
      </c>
      <c r="AJ77" s="748"/>
      <c r="AK77" s="749" t="s">
        <v>242</v>
      </c>
      <c r="AL77" s="749"/>
      <c r="AM77" s="749"/>
      <c r="AN77" s="749"/>
      <c r="AO77" s="746" t="s">
        <v>243</v>
      </c>
      <c r="AP77" s="746"/>
      <c r="AQ77" s="746"/>
      <c r="AR77" s="746"/>
      <c r="AU77" s="39" t="s">
        <v>310</v>
      </c>
      <c r="AV77" s="17" t="s">
        <v>21</v>
      </c>
      <c r="AW77" s="17">
        <v>60</v>
      </c>
      <c r="AX77" s="17" t="s">
        <v>22</v>
      </c>
      <c r="AY77" s="17" t="s">
        <v>337</v>
      </c>
      <c r="AZ77" s="153" t="s">
        <v>108</v>
      </c>
      <c r="BB77" s="4"/>
      <c r="BC77" s="4"/>
    </row>
    <row r="78" spans="1:55" ht="24.95" customHeight="1">
      <c r="A78" s="712"/>
      <c r="B78" s="95">
        <v>8</v>
      </c>
      <c r="C78" s="96" t="s">
        <v>7291</v>
      </c>
      <c r="D78" s="96"/>
      <c r="E78" s="96"/>
      <c r="F78" s="96"/>
      <c r="G78" s="96"/>
      <c r="H78" s="96"/>
      <c r="I78" s="96"/>
      <c r="J78" s="96"/>
      <c r="K78" s="96"/>
      <c r="L78" s="96"/>
      <c r="M78" s="74"/>
      <c r="N78" s="3"/>
      <c r="O78" s="39" t="s">
        <v>338</v>
      </c>
      <c r="P78" s="3"/>
      <c r="Q78" s="356" t="s">
        <v>602</v>
      </c>
      <c r="R78" s="3"/>
      <c r="S78" s="3"/>
      <c r="T78" s="3"/>
      <c r="U78" s="3"/>
      <c r="V78" s="98" t="str">
        <f t="shared" si="43"/>
        <v>Mélanger délicatement de bas en haut.</v>
      </c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H78" s="747"/>
      <c r="AI78" s="748"/>
      <c r="AJ78" s="748"/>
      <c r="AK78" s="749"/>
      <c r="AL78" s="749"/>
      <c r="AM78" s="749"/>
      <c r="AN78" s="749"/>
      <c r="AO78" s="746"/>
      <c r="AP78" s="746"/>
      <c r="AQ78" s="746"/>
      <c r="AR78" s="746"/>
      <c r="AU78" s="39" t="s">
        <v>331</v>
      </c>
      <c r="AV78" s="17" t="s">
        <v>21</v>
      </c>
      <c r="AW78" s="17">
        <v>2</v>
      </c>
      <c r="AX78" s="17" t="s">
        <v>22</v>
      </c>
      <c r="AY78" s="17" t="s">
        <v>331</v>
      </c>
      <c r="AZ78" s="153" t="s">
        <v>108</v>
      </c>
      <c r="BB78" s="4"/>
      <c r="BC78" s="4"/>
    </row>
    <row r="79" spans="1:55" ht="24.95" customHeight="1">
      <c r="A79" s="712"/>
      <c r="B79" s="101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90"/>
      <c r="N79" s="3"/>
      <c r="O79" s="39" t="s">
        <v>339</v>
      </c>
      <c r="P79" s="3"/>
      <c r="Q79" s="183"/>
      <c r="R79" s="3"/>
      <c r="S79" s="3"/>
      <c r="T79" s="3"/>
      <c r="U79" s="3"/>
      <c r="V79" s="98" t="str">
        <f t="shared" si="43"/>
        <v>Contrôler la présentation et servir immédiatement.</v>
      </c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H79" s="750" t="s">
        <v>6993</v>
      </c>
      <c r="AI79" s="748" t="s">
        <v>252</v>
      </c>
      <c r="AJ79" s="748"/>
      <c r="AK79" s="749" t="s">
        <v>253</v>
      </c>
      <c r="AL79" s="749"/>
      <c r="AM79" s="749"/>
      <c r="AN79" s="749"/>
      <c r="AO79" s="746" t="s">
        <v>254</v>
      </c>
      <c r="AP79" s="746"/>
      <c r="AQ79" s="746"/>
      <c r="AR79" s="746"/>
      <c r="AU79" s="39" t="s">
        <v>333</v>
      </c>
      <c r="AV79" s="17" t="s">
        <v>21</v>
      </c>
      <c r="AW79" s="17">
        <v>44</v>
      </c>
      <c r="AX79" s="17" t="s">
        <v>22</v>
      </c>
      <c r="AY79" s="17" t="s">
        <v>333</v>
      </c>
      <c r="AZ79" s="153" t="s">
        <v>108</v>
      </c>
      <c r="BB79" s="4"/>
      <c r="BC79" s="4"/>
    </row>
    <row r="80" spans="1:55" ht="24.95" customHeight="1">
      <c r="A80" s="712"/>
      <c r="B80" s="10" t="s">
        <v>258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92"/>
      <c r="N80" s="3"/>
      <c r="O80" s="39" t="s">
        <v>340</v>
      </c>
      <c r="P80" s="3"/>
      <c r="Q80" s="356" t="s">
        <v>609</v>
      </c>
      <c r="R80" s="3"/>
      <c r="S80" s="3"/>
      <c r="T80" s="3"/>
      <c r="U80" s="3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H80" s="750"/>
      <c r="AI80" s="748"/>
      <c r="AJ80" s="748"/>
      <c r="AK80" s="749"/>
      <c r="AL80" s="749"/>
      <c r="AM80" s="749"/>
      <c r="AN80" s="749"/>
      <c r="AO80" s="746"/>
      <c r="AP80" s="746"/>
      <c r="AQ80" s="746"/>
      <c r="AR80" s="746"/>
      <c r="AU80" s="39" t="s">
        <v>334</v>
      </c>
      <c r="AV80" s="17" t="s">
        <v>21</v>
      </c>
      <c r="AW80" s="17">
        <v>44</v>
      </c>
      <c r="AX80" s="17" t="s">
        <v>22</v>
      </c>
      <c r="AY80" s="17" t="s">
        <v>334</v>
      </c>
      <c r="AZ80" s="153" t="s">
        <v>108</v>
      </c>
      <c r="BB80" s="4"/>
      <c r="BC80" s="4"/>
    </row>
    <row r="81" spans="1:55" ht="24.95" customHeight="1">
      <c r="A81" s="712"/>
      <c r="B81" s="102" t="s">
        <v>259</v>
      </c>
      <c r="C81" s="73" t="s">
        <v>103</v>
      </c>
      <c r="D81" s="73"/>
      <c r="E81" s="73"/>
      <c r="F81" s="73"/>
      <c r="G81" s="73"/>
      <c r="H81" s="73"/>
      <c r="I81" s="73"/>
      <c r="J81" s="73"/>
      <c r="K81" s="73"/>
      <c r="L81" s="73"/>
      <c r="M81" s="74"/>
      <c r="N81" s="3"/>
      <c r="O81" s="39" t="s">
        <v>175</v>
      </c>
      <c r="P81" s="3"/>
      <c r="R81" s="3"/>
      <c r="S81" s="3"/>
      <c r="T81" s="3"/>
      <c r="U81" s="3"/>
      <c r="V81" s="103" t="s">
        <v>260</v>
      </c>
      <c r="W81" s="103" t="s">
        <v>209</v>
      </c>
      <c r="X81" s="103"/>
      <c r="Y81" s="103"/>
      <c r="Z81" s="103"/>
      <c r="AA81" s="103"/>
      <c r="AB81" s="103"/>
      <c r="AC81" s="103"/>
      <c r="AD81" s="103"/>
      <c r="AE81" s="103"/>
      <c r="AF81" s="103"/>
      <c r="AH81" s="171" t="s">
        <v>261</v>
      </c>
      <c r="AI81" s="172"/>
      <c r="AJ81" s="165"/>
      <c r="AK81" s="165"/>
      <c r="AL81" s="165"/>
      <c r="AM81" s="165"/>
      <c r="AN81" s="165"/>
      <c r="AO81" s="165"/>
      <c r="AP81" s="165"/>
      <c r="AQ81" s="165"/>
      <c r="AR81" s="165"/>
      <c r="AU81" s="39" t="s">
        <v>340</v>
      </c>
      <c r="AV81" s="17" t="s">
        <v>21</v>
      </c>
      <c r="AW81" s="17">
        <v>50</v>
      </c>
      <c r="AX81" s="17" t="s">
        <v>22</v>
      </c>
      <c r="AY81" s="17" t="s">
        <v>340</v>
      </c>
      <c r="AZ81" s="153" t="s">
        <v>108</v>
      </c>
      <c r="BB81" s="4"/>
      <c r="BC81" s="4"/>
    </row>
    <row r="82" spans="1:55" ht="24.95" customHeight="1">
      <c r="A82" s="712"/>
      <c r="B82" s="102" t="s">
        <v>262</v>
      </c>
      <c r="C82" s="73" t="s">
        <v>7292</v>
      </c>
      <c r="D82" s="73"/>
      <c r="E82" s="73"/>
      <c r="F82" s="73"/>
      <c r="G82" s="73"/>
      <c r="H82" s="73"/>
      <c r="I82" s="73"/>
      <c r="J82" s="73"/>
      <c r="K82" s="73"/>
      <c r="L82" s="73"/>
      <c r="M82" s="74"/>
      <c r="N82" s="3"/>
      <c r="O82" s="39" t="s">
        <v>341</v>
      </c>
      <c r="P82" s="3"/>
      <c r="Q82" s="3"/>
      <c r="R82" s="3"/>
      <c r="S82" s="3"/>
      <c r="T82" s="3"/>
      <c r="U82" s="3"/>
      <c r="V82" s="850" t="str">
        <f>IF(C81="","",C81)</f>
        <v>Highball</v>
      </c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H82" s="172" t="s">
        <v>264</v>
      </c>
      <c r="AI82" s="172"/>
      <c r="AJ82" s="165"/>
      <c r="AK82" s="172"/>
      <c r="AL82" s="165"/>
      <c r="AM82" s="165"/>
      <c r="AN82" s="165"/>
      <c r="AO82" s="172"/>
      <c r="AP82" s="165"/>
      <c r="AQ82" s="165"/>
      <c r="AR82" s="165"/>
      <c r="AU82" s="39" t="s">
        <v>342</v>
      </c>
      <c r="AV82" s="17" t="s">
        <v>21</v>
      </c>
      <c r="AW82" s="17">
        <v>30</v>
      </c>
      <c r="AX82" s="17" t="s">
        <v>22</v>
      </c>
      <c r="AY82" s="17" t="s">
        <v>343</v>
      </c>
      <c r="AZ82" s="153" t="s">
        <v>108</v>
      </c>
      <c r="BB82" s="4"/>
      <c r="BC82" s="4"/>
    </row>
    <row r="83" spans="1:55" ht="24.95" customHeight="1">
      <c r="A83" s="712"/>
      <c r="B83" s="104" t="s">
        <v>267</v>
      </c>
      <c r="C83" s="105" t="s">
        <v>7277</v>
      </c>
      <c r="D83" s="73"/>
      <c r="E83" s="73"/>
      <c r="F83" s="73"/>
      <c r="G83" s="73"/>
      <c r="H83" s="73"/>
      <c r="I83" s="73"/>
      <c r="J83" s="73"/>
      <c r="K83" s="73"/>
      <c r="L83" s="73"/>
      <c r="M83" s="74"/>
      <c r="N83" s="3"/>
      <c r="O83" s="39" t="s">
        <v>344</v>
      </c>
      <c r="P83" s="3"/>
      <c r="Q83" s="3"/>
      <c r="R83" s="3"/>
      <c r="S83" s="3"/>
      <c r="T83" s="3"/>
      <c r="U83" s="3"/>
      <c r="V83" s="850" t="str">
        <f>IF(C82="","",C82)</f>
        <v>Doseur / jigger ; cuillère à mélange ; pilon léger ; pince à glaçons</v>
      </c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H83" s="172" t="s">
        <v>269</v>
      </c>
      <c r="AI83" s="172"/>
      <c r="AJ83" s="173"/>
      <c r="AK83" s="173"/>
      <c r="AL83" s="165"/>
      <c r="AM83" s="165"/>
      <c r="AN83" s="165"/>
      <c r="AO83" s="165"/>
      <c r="AP83" s="165"/>
      <c r="AQ83" s="165"/>
      <c r="AR83" s="165"/>
      <c r="AU83" s="39" t="s">
        <v>345</v>
      </c>
      <c r="AV83" s="17" t="s">
        <v>21</v>
      </c>
      <c r="AW83" s="17">
        <v>568</v>
      </c>
      <c r="AX83" s="17" t="s">
        <v>22</v>
      </c>
      <c r="AY83" s="17" t="s">
        <v>346</v>
      </c>
      <c r="AZ83" s="153" t="s">
        <v>108</v>
      </c>
      <c r="BB83" s="4"/>
      <c r="BC83" s="4"/>
    </row>
    <row r="84" spans="1:55" ht="24.95" customHeight="1">
      <c r="A84" s="712"/>
      <c r="N84" s="3"/>
      <c r="O84" s="39" t="s">
        <v>179</v>
      </c>
      <c r="P84" s="3"/>
      <c r="Q84" s="3"/>
      <c r="R84" s="3"/>
      <c r="S84" s="3"/>
      <c r="T84" s="3"/>
      <c r="U84" s="3"/>
      <c r="V84" s="850" t="str">
        <f>IF(C83="","",C83)</f>
        <v>https://iba-world.com/</v>
      </c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H84" s="168" t="s">
        <v>274</v>
      </c>
      <c r="AI84" s="165"/>
      <c r="AJ84" s="173"/>
      <c r="AK84" s="173"/>
      <c r="AL84" s="165"/>
      <c r="AM84" s="165"/>
      <c r="AN84" s="165"/>
      <c r="AO84" s="165"/>
      <c r="AP84" s="165"/>
      <c r="AQ84" s="165"/>
      <c r="AR84" s="165"/>
      <c r="AU84" s="39" t="s">
        <v>347</v>
      </c>
      <c r="AV84" s="17" t="s">
        <v>21</v>
      </c>
      <c r="AW84" s="17">
        <v>473</v>
      </c>
      <c r="AX84" s="17" t="s">
        <v>22</v>
      </c>
      <c r="AY84" s="17" t="s">
        <v>348</v>
      </c>
      <c r="AZ84" s="153" t="s">
        <v>108</v>
      </c>
      <c r="BB84" s="4"/>
      <c r="BC84" s="4"/>
    </row>
    <row r="85" spans="1:55" ht="24.95" customHeight="1">
      <c r="A85" s="713"/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7" t="s">
        <v>272</v>
      </c>
      <c r="N85" s="3"/>
      <c r="O85" s="39" t="s">
        <v>349</v>
      </c>
      <c r="P85" s="3"/>
      <c r="Q85" s="3"/>
      <c r="R85" s="3"/>
      <c r="S85" s="3"/>
      <c r="T85" s="3"/>
      <c r="U85" s="3"/>
      <c r="V85" s="108" t="s">
        <v>277</v>
      </c>
      <c r="W85" s="108"/>
      <c r="X85" s="108"/>
      <c r="Y85" s="108"/>
      <c r="Z85" s="108"/>
      <c r="AA85" s="108"/>
      <c r="AB85" s="108"/>
      <c r="AC85" s="108"/>
      <c r="AD85" s="108"/>
      <c r="AE85" s="108"/>
      <c r="AF85" s="109" t="s">
        <v>277</v>
      </c>
      <c r="AH85" s="168" t="s">
        <v>278</v>
      </c>
      <c r="AI85" s="172"/>
      <c r="AJ85" s="173"/>
      <c r="AK85" s="173"/>
      <c r="AL85" s="165"/>
      <c r="AM85" s="165"/>
      <c r="AN85" s="165"/>
      <c r="AO85" s="165"/>
      <c r="AP85" s="165"/>
      <c r="AQ85" s="165"/>
      <c r="AR85" s="165"/>
      <c r="AU85" s="39" t="s">
        <v>350</v>
      </c>
      <c r="AV85" s="17" t="s">
        <v>21</v>
      </c>
      <c r="AW85" s="17">
        <v>30</v>
      </c>
      <c r="AX85" s="17" t="s">
        <v>22</v>
      </c>
      <c r="AY85" s="17" t="s">
        <v>351</v>
      </c>
      <c r="AZ85" s="153" t="s">
        <v>108</v>
      </c>
      <c r="BB85" s="4"/>
      <c r="BC85" s="4"/>
    </row>
    <row r="86" spans="1:55" ht="24.95" customHeight="1">
      <c r="A86" s="715"/>
      <c r="B86" s="716"/>
      <c r="C86" s="716"/>
      <c r="D86" s="716"/>
      <c r="E86" s="716"/>
      <c r="F86" s="716"/>
      <c r="G86" s="716"/>
      <c r="H86" s="716"/>
      <c r="I86" s="716"/>
      <c r="J86" s="716"/>
      <c r="K86" s="716"/>
      <c r="L86" s="716"/>
      <c r="M86" s="716"/>
      <c r="N86" s="717"/>
      <c r="O86" s="39" t="s">
        <v>342</v>
      </c>
      <c r="P86" s="717"/>
      <c r="Q86" s="3"/>
      <c r="R86" s="3"/>
      <c r="S86" s="3"/>
      <c r="T86" s="3"/>
      <c r="U86" s="719"/>
      <c r="V86" s="761"/>
      <c r="W86" s="761"/>
      <c r="X86" s="761"/>
      <c r="Y86" s="720"/>
      <c r="Z86" s="721"/>
      <c r="AA86" s="721"/>
      <c r="AB86" s="721"/>
      <c r="AC86" s="721"/>
      <c r="AD86" s="721"/>
      <c r="AE86" s="721"/>
      <c r="AF86" s="721"/>
      <c r="AG86" s="719"/>
      <c r="AH86" s="718"/>
      <c r="AI86" s="718"/>
      <c r="AJ86" s="718"/>
      <c r="AK86" s="718"/>
      <c r="AL86" s="718"/>
      <c r="AM86" s="722"/>
      <c r="AN86" s="722"/>
      <c r="AO86" s="722"/>
      <c r="AP86" s="722"/>
      <c r="AQ86" s="722"/>
      <c r="AR86" s="722"/>
      <c r="AS86" s="722"/>
      <c r="AU86" s="39" t="s">
        <v>352</v>
      </c>
      <c r="AV86" s="17" t="s">
        <v>21</v>
      </c>
      <c r="AW86" s="17">
        <v>44</v>
      </c>
      <c r="AX86" s="17" t="s">
        <v>22</v>
      </c>
      <c r="AY86" s="17" t="s">
        <v>352</v>
      </c>
      <c r="AZ86" s="153" t="s">
        <v>108</v>
      </c>
      <c r="BB86" s="4"/>
      <c r="BC86" s="4"/>
    </row>
    <row r="87" spans="1:55" ht="24.9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9" t="s">
        <v>265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U87" s="39" t="s">
        <v>353</v>
      </c>
      <c r="AV87" s="17" t="s">
        <v>21</v>
      </c>
      <c r="AW87" s="17">
        <v>4</v>
      </c>
      <c r="AX87" s="17" t="s">
        <v>22</v>
      </c>
      <c r="AY87" s="17" t="s">
        <v>354</v>
      </c>
      <c r="AZ87" s="153" t="s">
        <v>108</v>
      </c>
      <c r="BB87" s="4"/>
      <c r="BC87" s="4"/>
    </row>
    <row r="88" spans="1:55" ht="24.95" customHeight="1">
      <c r="A88" s="149" t="s">
        <v>59</v>
      </c>
      <c r="B88" s="711" t="s">
        <v>60</v>
      </c>
      <c r="C88" s="711"/>
      <c r="D88" s="711"/>
      <c r="E88" s="711"/>
      <c r="F88" s="711"/>
      <c r="G88" s="711"/>
      <c r="H88" s="711"/>
      <c r="I88" s="711"/>
      <c r="J88" s="711"/>
      <c r="K88" s="711"/>
      <c r="L88" s="711"/>
      <c r="M88" s="711"/>
      <c r="N88" s="3"/>
      <c r="O88" s="39" t="s">
        <v>183</v>
      </c>
      <c r="P88" s="3"/>
      <c r="Q88" s="10" t="s">
        <v>61</v>
      </c>
      <c r="R88" s="10"/>
      <c r="S88" s="10"/>
      <c r="T88" s="10"/>
      <c r="V88" s="861" t="s">
        <v>62</v>
      </c>
      <c r="W88" s="861"/>
      <c r="X88" s="861"/>
      <c r="Y88" s="23" t="s">
        <v>63</v>
      </c>
      <c r="Z88" s="24"/>
      <c r="AA88" s="24"/>
      <c r="AB88" s="24"/>
      <c r="AC88" s="24"/>
      <c r="AD88" s="24"/>
      <c r="AE88" s="24"/>
      <c r="AF88" s="24"/>
      <c r="AH88" s="25" t="s">
        <v>64</v>
      </c>
      <c r="AI88" s="25"/>
      <c r="AJ88" s="25" t="s">
        <v>65</v>
      </c>
      <c r="AK88" s="25"/>
      <c r="AL88" s="25"/>
      <c r="AM88" s="26"/>
      <c r="AN88" s="26"/>
      <c r="AO88" s="26"/>
      <c r="AP88" s="26"/>
      <c r="AQ88" s="26"/>
      <c r="AR88" s="26"/>
      <c r="AS88" s="26"/>
      <c r="AU88" s="39" t="s">
        <v>125</v>
      </c>
      <c r="AV88" s="17" t="s">
        <v>21</v>
      </c>
      <c r="AW88" s="17">
        <v>1.5</v>
      </c>
      <c r="AX88" s="17" t="s">
        <v>22</v>
      </c>
      <c r="AY88" s="17" t="s">
        <v>129</v>
      </c>
      <c r="AZ88" s="153" t="s">
        <v>108</v>
      </c>
      <c r="BB88" s="4"/>
      <c r="BC88" s="4"/>
    </row>
    <row r="89" spans="1:55" ht="24.95" customHeight="1">
      <c r="A89" s="712"/>
      <c r="B89" s="27" t="s">
        <v>67</v>
      </c>
      <c r="C89" s="28" t="s">
        <v>7293</v>
      </c>
      <c r="D89" s="28"/>
      <c r="E89" s="27" t="s">
        <v>69</v>
      </c>
      <c r="F89" s="29" t="s">
        <v>70</v>
      </c>
      <c r="G89" s="30"/>
      <c r="H89" s="27" t="s">
        <v>71</v>
      </c>
      <c r="I89" s="729" t="s">
        <v>7272</v>
      </c>
      <c r="J89" s="30"/>
      <c r="K89" s="27" t="s">
        <v>73</v>
      </c>
      <c r="L89" s="32" t="s">
        <v>651</v>
      </c>
      <c r="M89" s="33"/>
      <c r="N89" s="3"/>
      <c r="O89" s="39" t="s">
        <v>187</v>
      </c>
      <c r="P89" s="3"/>
      <c r="Q89" s="14" t="s">
        <v>27</v>
      </c>
      <c r="R89" s="35">
        <v>14</v>
      </c>
      <c r="S89" s="15" t="s">
        <v>76</v>
      </c>
      <c r="T89" s="15"/>
      <c r="V89" s="831" t="s">
        <v>77</v>
      </c>
      <c r="W89" s="862" t="str">
        <f>C89</f>
        <v>MARGARITA</v>
      </c>
      <c r="X89" s="862"/>
      <c r="Y89" s="862"/>
      <c r="Z89" s="36" t="s">
        <v>78</v>
      </c>
      <c r="AA89" s="24" t="str">
        <f>F89</f>
        <v>AVEC ALCOOL</v>
      </c>
      <c r="AB89" s="24"/>
      <c r="AC89" s="831" t="s">
        <v>71</v>
      </c>
      <c r="AD89" s="37" t="str">
        <f>I89</f>
        <v>ALL DAY</v>
      </c>
      <c r="AE89" s="831" t="s">
        <v>73</v>
      </c>
      <c r="AF89" s="24" t="str">
        <f>L89</f>
        <v>STRAIGHT UP</v>
      </c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U89" s="39" t="s">
        <v>355</v>
      </c>
      <c r="AV89" s="17" t="s">
        <v>21</v>
      </c>
      <c r="AW89" s="17">
        <v>237</v>
      </c>
      <c r="AX89" s="17" t="s">
        <v>22</v>
      </c>
      <c r="AY89" s="17" t="s">
        <v>356</v>
      </c>
      <c r="AZ89" s="153" t="s">
        <v>108</v>
      </c>
      <c r="BB89" s="4"/>
      <c r="BC89" s="4"/>
    </row>
    <row r="90" spans="1:55" ht="24.95" customHeight="1">
      <c r="A90" s="712"/>
      <c r="B90" s="27" t="s">
        <v>80</v>
      </c>
      <c r="C90" s="38" t="s">
        <v>7294</v>
      </c>
      <c r="D90" s="30"/>
      <c r="E90" s="27" t="s">
        <v>82</v>
      </c>
      <c r="F90" s="39" t="s">
        <v>36</v>
      </c>
      <c r="G90" s="30"/>
      <c r="H90" s="27" t="s">
        <v>84</v>
      </c>
      <c r="I90" s="40">
        <v>1</v>
      </c>
      <c r="J90" s="41" t="s">
        <v>36</v>
      </c>
      <c r="K90" s="41"/>
      <c r="L90" s="42" t="s">
        <v>76</v>
      </c>
      <c r="M90" s="33"/>
      <c r="N90" s="3"/>
      <c r="O90" s="39" t="s">
        <v>345</v>
      </c>
      <c r="Q90" s="14" t="s">
        <v>31</v>
      </c>
      <c r="R90" s="35"/>
      <c r="S90" s="15" t="s">
        <v>86</v>
      </c>
      <c r="T90" s="15"/>
      <c r="V90" s="44" t="s">
        <v>87</v>
      </c>
      <c r="W90" s="150">
        <f>R94</f>
        <v>32.941176470588232</v>
      </c>
      <c r="X90" s="43" t="s">
        <v>88</v>
      </c>
      <c r="Y90" s="43"/>
      <c r="Z90" s="44" t="s">
        <v>89</v>
      </c>
      <c r="AA90" s="45">
        <f>R96</f>
        <v>1.7349999999999999</v>
      </c>
      <c r="AB90" s="46" t="s">
        <v>90</v>
      </c>
      <c r="AC90" s="44" t="s">
        <v>91</v>
      </c>
      <c r="AD90" s="45">
        <f>R91</f>
        <v>14</v>
      </c>
      <c r="AE90" s="47" t="s">
        <v>92</v>
      </c>
      <c r="AF90" s="43" t="str">
        <f>R98</f>
        <v>NOMBRE DE COCKTAILS</v>
      </c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U90" s="39" t="s">
        <v>305</v>
      </c>
      <c r="AV90" s="17" t="s">
        <v>21</v>
      </c>
      <c r="AW90" s="17">
        <v>45</v>
      </c>
      <c r="AX90" s="17" t="s">
        <v>22</v>
      </c>
      <c r="AY90" s="17" t="s">
        <v>357</v>
      </c>
      <c r="AZ90" s="180" t="s">
        <v>358</v>
      </c>
      <c r="BB90" s="4"/>
      <c r="BC90" s="4"/>
    </row>
    <row r="91" spans="1:55" ht="24.95" customHeight="1">
      <c r="A91" s="712"/>
      <c r="B91" s="27" t="s">
        <v>94</v>
      </c>
      <c r="C91" s="151" t="s">
        <v>7295</v>
      </c>
      <c r="D91" s="30"/>
      <c r="E91" s="30"/>
      <c r="F91" s="30"/>
      <c r="G91" s="30"/>
      <c r="H91" s="27" t="s">
        <v>96</v>
      </c>
      <c r="I91" s="48">
        <v>8.5</v>
      </c>
      <c r="J91" s="730" t="s">
        <v>32</v>
      </c>
      <c r="K91" s="30"/>
      <c r="L91" s="30"/>
      <c r="M91" s="33"/>
      <c r="N91" s="3"/>
      <c r="O91" s="39" t="s">
        <v>347</v>
      </c>
      <c r="Q91" s="14" t="s">
        <v>98</v>
      </c>
      <c r="R91" s="49">
        <f>IF(AND(ISNUMBER(R90),R90&gt;0),IFERROR(R90*1000/R92,0),IF(AND(ISNUMBER(R89),R89&gt;0,ISNUMBER(I90),I90&gt;0),R89/I90,1))</f>
        <v>14</v>
      </c>
      <c r="S91" s="50" t="s">
        <v>99</v>
      </c>
      <c r="T91" s="50"/>
      <c r="V91" s="44" t="s">
        <v>100</v>
      </c>
      <c r="W91" s="51">
        <f>IF(R92="","",R92/10)</f>
        <v>8.5</v>
      </c>
      <c r="X91" s="46" t="s">
        <v>32</v>
      </c>
      <c r="Y91" s="43"/>
      <c r="Z91" s="44" t="s">
        <v>101</v>
      </c>
      <c r="AA91" s="45">
        <f>R93</f>
        <v>8.5</v>
      </c>
      <c r="AB91" s="46" t="s">
        <v>32</v>
      </c>
      <c r="AC91" s="44" t="s">
        <v>102</v>
      </c>
      <c r="AD91" s="45">
        <f>R97</f>
        <v>14</v>
      </c>
      <c r="AE91" s="51"/>
      <c r="AF91" s="4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U91" s="39" t="s">
        <v>307</v>
      </c>
      <c r="AV91" s="17" t="s">
        <v>21</v>
      </c>
      <c r="AW91" s="17">
        <v>45</v>
      </c>
      <c r="AX91" s="17" t="s">
        <v>22</v>
      </c>
      <c r="AY91" s="17" t="s">
        <v>359</v>
      </c>
      <c r="AZ91" s="180" t="s">
        <v>358</v>
      </c>
      <c r="BB91" s="4"/>
      <c r="BC91" s="4"/>
    </row>
    <row r="92" spans="1:55" ht="24.95" customHeight="1">
      <c r="A92" s="712"/>
      <c r="B92" s="27"/>
      <c r="C92" s="52" t="str">
        <f>UPPER(LEFT(C89,1)) &amp; " . " &amp; UPPER(LEFT(C89,1)) &amp; LOWER(MID(C89,2,999)) &amp; " . " &amp; UPPER(LEFT(F89,1)) &amp; LOWER(MID(F89,2,999)) &amp; " . " &amp; UPPER(LEFT(I89,1)) &amp; LOWER(MID(I89,2,999)) &amp; " . " &amp; "Verre " &amp; UPPER(LEFT(F90,1)) &amp; LOWER(MID(F90,2,999)) &amp; IF(LEFT(L89,1)=UPPER(LEFT(L89,1)),".","") &amp; UPPER(LEFT(L89,1)) &amp; LOWER(MID(L89,2,999))&amp;"  couleur"&amp;" "&amp;C90&amp;"  intensité"&amp;" "&amp;C91</f>
        <v>M . Margarita . Avec alcool . All day . Verre Coupette.Straight up  couleur jaune-vert pâle  intensité *** acidulé</v>
      </c>
      <c r="D92" s="52"/>
      <c r="E92" s="52"/>
      <c r="F92" s="52"/>
      <c r="G92" s="52"/>
      <c r="H92" s="52"/>
      <c r="I92" s="52"/>
      <c r="J92" s="52"/>
      <c r="K92" s="52"/>
      <c r="L92" s="30"/>
      <c r="M92" s="33"/>
      <c r="N92" s="3"/>
      <c r="O92" s="39" t="s">
        <v>191</v>
      </c>
      <c r="Q92" s="14" t="s">
        <v>105</v>
      </c>
      <c r="R92" s="49">
        <f>SUMIF(AJ99:AJ105,"VOLUME",AL99:AL105)</f>
        <v>85</v>
      </c>
      <c r="S92" s="50" t="s">
        <v>22</v>
      </c>
      <c r="T92" s="50"/>
      <c r="V92" s="44" t="s">
        <v>96</v>
      </c>
      <c r="W92" s="51">
        <f>I91</f>
        <v>8.5</v>
      </c>
      <c r="X92" s="46" t="str">
        <f>J91</f>
        <v>cl</v>
      </c>
      <c r="Y92" s="43"/>
      <c r="Z92" s="44" t="s">
        <v>82</v>
      </c>
      <c r="AA92" s="54" t="str">
        <f>F90</f>
        <v>Coupette</v>
      </c>
      <c r="AB92" s="43"/>
      <c r="AC92" s="44" t="s">
        <v>106</v>
      </c>
      <c r="AD92" s="45">
        <f>R99</f>
        <v>18</v>
      </c>
      <c r="AE92" s="46" t="s">
        <v>32</v>
      </c>
      <c r="AF92" s="4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U92" s="39" t="s">
        <v>326</v>
      </c>
      <c r="AV92" s="17" t="s">
        <v>21</v>
      </c>
      <c r="AW92" s="17">
        <v>250</v>
      </c>
      <c r="AX92" s="17" t="s">
        <v>22</v>
      </c>
      <c r="AY92" s="17" t="s">
        <v>360</v>
      </c>
      <c r="AZ92" s="180" t="s">
        <v>358</v>
      </c>
      <c r="BB92" s="4"/>
      <c r="BC92" s="4"/>
    </row>
    <row r="93" spans="1:55" ht="24.95" customHeight="1">
      <c r="A93" s="712"/>
      <c r="B93" s="27" t="s">
        <v>110</v>
      </c>
      <c r="C93" s="55" t="s">
        <v>7296</v>
      </c>
      <c r="D93" s="55"/>
      <c r="E93" s="154"/>
      <c r="F93" s="154"/>
      <c r="G93" s="154"/>
      <c r="H93" s="154"/>
      <c r="I93" s="154"/>
      <c r="J93" s="154"/>
      <c r="K93" s="154"/>
      <c r="L93" s="30"/>
      <c r="M93" s="33"/>
      <c r="N93" s="3"/>
      <c r="O93" s="39" t="s">
        <v>194</v>
      </c>
      <c r="Q93" s="14" t="s">
        <v>113</v>
      </c>
      <c r="R93" s="49">
        <f>IF(OR(R92=0,NOT(ISNUMBER(I90)),I90&lt;=0),"",R92/I90/10)</f>
        <v>8.5</v>
      </c>
      <c r="S93" s="50" t="s">
        <v>32</v>
      </c>
      <c r="T93" s="50"/>
      <c r="V93" s="44" t="s">
        <v>114</v>
      </c>
      <c r="W93" s="51" t="str">
        <f>IF(I91="","",IF(R99="","⚠ À CONTRÔLER",IF(I91&lt;=R99,"✔ OK","❌ DÉPASSE CAPACITÉ")))</f>
        <v>✔ OK</v>
      </c>
      <c r="X93" s="43"/>
      <c r="Y93" s="43"/>
      <c r="Z93" s="44"/>
      <c r="AA93" s="56"/>
      <c r="AB93" s="43"/>
      <c r="AC93" s="43"/>
      <c r="AD93" s="46"/>
      <c r="AE93" s="46"/>
      <c r="AF93" s="4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U93" s="39" t="s">
        <v>344</v>
      </c>
      <c r="AV93" s="17" t="s">
        <v>21</v>
      </c>
      <c r="AW93" s="17">
        <v>30</v>
      </c>
      <c r="AX93" s="17" t="s">
        <v>22</v>
      </c>
      <c r="AY93" s="17" t="s">
        <v>361</v>
      </c>
      <c r="AZ93" s="180" t="s">
        <v>358</v>
      </c>
      <c r="BB93" s="4"/>
      <c r="BC93" s="4"/>
    </row>
    <row r="94" spans="1:55" ht="24.95" customHeight="1">
      <c r="A94" s="712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3"/>
      <c r="N94" s="3"/>
      <c r="O94" s="39" t="s">
        <v>350</v>
      </c>
      <c r="Q94" s="14" t="s">
        <v>118</v>
      </c>
      <c r="R94" s="155">
        <f>IF(AN106=0,"",SUM(AQ99:AQ105)/AN106*100)</f>
        <v>32.941176470588232</v>
      </c>
      <c r="S94" s="50" t="s">
        <v>88</v>
      </c>
      <c r="T94" s="50"/>
      <c r="V94" s="44" t="s">
        <v>110</v>
      </c>
      <c r="W94" s="46" t="str">
        <f>C93</f>
        <v>Cocktail court à base de tequila, triple sec et citron vert</v>
      </c>
      <c r="X94" s="43"/>
      <c r="Y94" s="43"/>
      <c r="Z94" s="44"/>
      <c r="AA94" s="56"/>
      <c r="AB94" s="43"/>
      <c r="AC94" s="43"/>
      <c r="AD94" s="46"/>
      <c r="AE94" s="46"/>
      <c r="AF94" s="4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U94" s="39" t="s">
        <v>362</v>
      </c>
      <c r="AV94" s="17" t="s">
        <v>21</v>
      </c>
      <c r="AW94" s="17">
        <v>150</v>
      </c>
      <c r="AX94" s="17" t="s">
        <v>22</v>
      </c>
      <c r="AY94" s="17" t="s">
        <v>362</v>
      </c>
      <c r="AZ94" s="180" t="s">
        <v>358</v>
      </c>
      <c r="BB94" s="4"/>
      <c r="BC94" s="4"/>
    </row>
    <row r="95" spans="1:55" ht="24.95" customHeight="1">
      <c r="A95" s="712"/>
      <c r="B95" s="57" t="s">
        <v>121</v>
      </c>
      <c r="C95" s="58" t="s">
        <v>7276</v>
      </c>
      <c r="D95" s="58"/>
      <c r="E95" s="59"/>
      <c r="F95" s="57" t="s">
        <v>123</v>
      </c>
      <c r="G95" s="58" t="s">
        <v>7277</v>
      </c>
      <c r="H95" s="60"/>
      <c r="I95" s="60"/>
      <c r="J95" s="61"/>
      <c r="K95" s="61"/>
      <c r="L95" s="61"/>
      <c r="M95" s="62"/>
      <c r="N95" s="3"/>
      <c r="O95" s="39" t="s">
        <v>363</v>
      </c>
      <c r="Q95" s="14" t="s">
        <v>126</v>
      </c>
      <c r="R95" s="156">
        <f>SUM(AR99:AR105)</f>
        <v>24.29</v>
      </c>
      <c r="S95" s="50" t="s">
        <v>90</v>
      </c>
      <c r="T95" s="50"/>
      <c r="V95" s="44" t="s">
        <v>121</v>
      </c>
      <c r="W95" s="46" t="str">
        <f>C95</f>
        <v>Référence classique — adaptation CFA</v>
      </c>
      <c r="X95" s="43"/>
      <c r="Y95" s="43"/>
      <c r="Z95" s="44" t="s">
        <v>94</v>
      </c>
      <c r="AA95" s="54" t="str">
        <f>C91</f>
        <v>*** acidulé</v>
      </c>
      <c r="AB95" s="43"/>
      <c r="AC95" s="759" t="str">
        <f>UPPER(LEFT(C89,1))&amp;" . "&amp;UPPER(LEFT(C89,1))&amp;LOWER(MID(C89,2,999))&amp;" . "&amp;UPPER(LEFT(F89,1))&amp;LOWER(MID(F89,2,999))&amp;" . "&amp;UPPER(LEFT(I89,1))&amp;LOWER(MID(I89,2,999))&amp;" . "&amp;"Verre "&amp;UPPER(LEFT(F90,1))&amp;LOWER(MID(F90,2,999))&amp;IF(LEFT(L89,1)=UPPER(LEFT(L89,1)),".","")&amp;UPPER(LEFT(L89,1))&amp;LOWER(MID(L89,2,999))&amp;"  couleur "&amp;C90&amp;"  intensité "&amp;C91</f>
        <v>M . Margarita . Avec alcool . All day . Verre Coupette.Straight up  couleur jaune-vert pâle  intensité *** acidulé</v>
      </c>
      <c r="AD95" s="759"/>
      <c r="AE95" s="759"/>
      <c r="AF95" s="759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U95" s="39" t="s">
        <v>364</v>
      </c>
      <c r="AV95" s="17" t="s">
        <v>21</v>
      </c>
      <c r="AW95" s="17">
        <v>40</v>
      </c>
      <c r="AX95" s="17" t="s">
        <v>22</v>
      </c>
      <c r="AY95" s="17" t="s">
        <v>365</v>
      </c>
      <c r="AZ95" s="180" t="s">
        <v>358</v>
      </c>
      <c r="BB95" s="4"/>
      <c r="BC95" s="4"/>
    </row>
    <row r="96" spans="1:55" ht="24.95" customHeight="1">
      <c r="A96" s="712"/>
      <c r="B96" s="10" t="s">
        <v>131</v>
      </c>
      <c r="C96" s="10" t="s">
        <v>132</v>
      </c>
      <c r="D96" s="10"/>
      <c r="E96" s="10"/>
      <c r="F96" s="10"/>
      <c r="G96" s="10"/>
      <c r="H96" s="10"/>
      <c r="I96" s="10"/>
      <c r="J96" s="11" t="str">
        <f>IF(COUNTIF(C98:C104,"*~**")+COUNTIF(C98:C104,"*~?*")=0,"",IF(COUNTIF(C98:C104,"*~**")&gt;0,COUNTIF(C98:C104,"*~**")&amp;" allergène"&amp;IF(COUNTIF(C98:C104,"*~**")&gt;1,"s","")&amp;" repéré"&amp;IF(COUNTIF(C98:C104,"*~**")&gt;1,"s","")&amp;" par *","")&amp;IF(AND(COUNTIF(C98:C104,"*~**")&gt;0,COUNTIF(C98:C104,"*~?*")&gt;0)," | ","")&amp;IF(COUNTIF(C98:C104,"*~?*")&gt;0,COUNTIF(C98:C104,"*~?*")&amp;" produit"&amp;IF(COUNTIF(C98:C104,"*~?*")&gt;1,"s","")&amp;" à vérifier par ?",""))</f>
        <v/>
      </c>
      <c r="K96" s="10"/>
      <c r="L96" s="10"/>
      <c r="M96" s="63"/>
      <c r="N96" s="3"/>
      <c r="O96" s="39" t="s">
        <v>366</v>
      </c>
      <c r="Q96" s="14" t="s">
        <v>134</v>
      </c>
      <c r="R96" s="156">
        <f>IF(OR(R95="",R97="",R97=0),"",R95/R97)</f>
        <v>1.7349999999999999</v>
      </c>
      <c r="S96" s="50" t="s">
        <v>135</v>
      </c>
      <c r="T96" s="50"/>
      <c r="V96" s="852" t="s">
        <v>136</v>
      </c>
      <c r="W96" s="853">
        <f>R95</f>
        <v>24.29</v>
      </c>
      <c r="X96" s="854" t="s">
        <v>90</v>
      </c>
      <c r="Y96" s="43"/>
      <c r="Z96" s="44" t="s">
        <v>137</v>
      </c>
      <c r="AA96" s="54" t="str">
        <f>C89</f>
        <v>MARGARITA</v>
      </c>
      <c r="AB96" s="43"/>
      <c r="AC96" s="759"/>
      <c r="AD96" s="759"/>
      <c r="AE96" s="759"/>
      <c r="AF96" s="759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U96" s="39" t="s">
        <v>367</v>
      </c>
      <c r="AV96" s="17" t="s">
        <v>21</v>
      </c>
      <c r="AW96" s="17">
        <v>150</v>
      </c>
      <c r="AX96" s="17" t="s">
        <v>22</v>
      </c>
      <c r="AY96" s="17" t="s">
        <v>368</v>
      </c>
      <c r="AZ96" s="180" t="s">
        <v>358</v>
      </c>
      <c r="BB96" s="4"/>
      <c r="BC96" s="4"/>
    </row>
    <row r="97" spans="1:55" ht="24.95" customHeight="1">
      <c r="A97" s="712"/>
      <c r="B97" s="66">
        <v>0</v>
      </c>
      <c r="C97" s="64" t="s">
        <v>141</v>
      </c>
      <c r="D97" s="65" t="s">
        <v>142</v>
      </c>
      <c r="E97" s="64" t="s">
        <v>9</v>
      </c>
      <c r="F97" s="66" t="s">
        <v>143</v>
      </c>
      <c r="G97" s="66" t="s">
        <v>144</v>
      </c>
      <c r="H97" s="66" t="s">
        <v>145</v>
      </c>
      <c r="I97" s="67" t="s">
        <v>146</v>
      </c>
      <c r="J97" s="67" t="s">
        <v>847</v>
      </c>
      <c r="K97" s="67" t="s">
        <v>148</v>
      </c>
      <c r="L97" s="67" t="s">
        <v>149</v>
      </c>
      <c r="M97" s="68" t="s">
        <v>150</v>
      </c>
      <c r="N97" s="3"/>
      <c r="O97" s="39" t="s">
        <v>369</v>
      </c>
      <c r="Q97" s="14" t="s">
        <v>152</v>
      </c>
      <c r="R97" s="49">
        <f>IF(AND(ISNUMBER(R90),R90&gt;0,ISNUMBER(I91),I91&gt;0),R90*1000/(I91*10),IF(AND(ISNUMBER(R89),R89&gt;0),R89,""))</f>
        <v>14</v>
      </c>
      <c r="S97" s="50" t="s">
        <v>76</v>
      </c>
      <c r="T97" s="50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H97" s="25" t="s">
        <v>153</v>
      </c>
      <c r="AI97" s="25"/>
      <c r="AJ97" s="25" t="s">
        <v>490</v>
      </c>
      <c r="AK97" s="25"/>
      <c r="AL97" s="25"/>
      <c r="AM97" s="25"/>
      <c r="AN97" s="26"/>
      <c r="AO97" s="26"/>
      <c r="AP97" s="26"/>
      <c r="AQ97" s="26"/>
      <c r="AR97" s="26"/>
      <c r="AS97" s="26"/>
      <c r="AU97" s="39" t="s">
        <v>370</v>
      </c>
      <c r="AV97" s="17" t="s">
        <v>21</v>
      </c>
      <c r="AW97" s="17">
        <v>45</v>
      </c>
      <c r="AX97" s="17" t="s">
        <v>22</v>
      </c>
      <c r="AY97" s="17" t="s">
        <v>371</v>
      </c>
      <c r="AZ97" s="180" t="s">
        <v>358</v>
      </c>
      <c r="BB97" s="4"/>
      <c r="BC97" s="4"/>
    </row>
    <row r="98" spans="1:55" ht="24.95" customHeight="1">
      <c r="A98" s="712"/>
      <c r="B98" s="731">
        <v>1</v>
      </c>
      <c r="C98" s="70" t="s">
        <v>7297</v>
      </c>
      <c r="D98" s="79">
        <v>5</v>
      </c>
      <c r="E98" s="18" t="s">
        <v>32</v>
      </c>
      <c r="F98" s="72">
        <v>40</v>
      </c>
      <c r="G98" s="732">
        <v>0.95</v>
      </c>
      <c r="H98" s="733" t="s">
        <v>156</v>
      </c>
      <c r="I98" s="161">
        <v>25</v>
      </c>
      <c r="J98" s="73"/>
      <c r="K98" s="73" t="s">
        <v>7278</v>
      </c>
      <c r="L98" s="73"/>
      <c r="M98" s="74"/>
      <c r="N98" s="3"/>
      <c r="O98" s="39" t="s">
        <v>362</v>
      </c>
      <c r="Q98" s="14" t="s">
        <v>158</v>
      </c>
      <c r="R98" s="75" t="str">
        <f>IF(AND(ISNUMBER(R90),R90&gt;0),"VOLUME TOTAL",IF(AND(ISNUMBER(R89),R89&gt;0),"NOMBRE DE COCKTAILS","RÉFÉRENCE"))</f>
        <v>NOMBRE DE COCKTAILS</v>
      </c>
      <c r="S98" s="50"/>
      <c r="T98" s="50"/>
      <c r="V98" s="831" t="s">
        <v>159</v>
      </c>
      <c r="W98" s="36" t="s">
        <v>160</v>
      </c>
      <c r="X98" s="76" t="s">
        <v>161</v>
      </c>
      <c r="Y98" s="835" t="s">
        <v>162</v>
      </c>
      <c r="Z98" s="838" t="s">
        <v>163</v>
      </c>
      <c r="AA98" s="36" t="s">
        <v>164</v>
      </c>
      <c r="AB98" s="36" t="s">
        <v>9</v>
      </c>
      <c r="AC98" s="841" t="s">
        <v>165</v>
      </c>
      <c r="AD98" s="296" t="s">
        <v>166</v>
      </c>
      <c r="AE98" s="36" t="s">
        <v>146</v>
      </c>
      <c r="AF98" s="833" t="s">
        <v>167</v>
      </c>
      <c r="AH98" s="77" t="s">
        <v>168</v>
      </c>
      <c r="AI98" s="78" t="s">
        <v>159</v>
      </c>
      <c r="AJ98" s="77" t="s">
        <v>10</v>
      </c>
      <c r="AK98" s="77" t="s">
        <v>169</v>
      </c>
      <c r="AL98" s="77" t="s">
        <v>170</v>
      </c>
      <c r="AM98" s="77" t="s">
        <v>91</v>
      </c>
      <c r="AN98" s="78" t="s">
        <v>161</v>
      </c>
      <c r="AO98" s="77" t="s">
        <v>171</v>
      </c>
      <c r="AP98" s="77" t="s">
        <v>172</v>
      </c>
      <c r="AQ98" s="77" t="s">
        <v>165</v>
      </c>
      <c r="AR98" s="77" t="s">
        <v>167</v>
      </c>
      <c r="AS98" s="77" t="s">
        <v>173</v>
      </c>
      <c r="AU98" s="39" t="s">
        <v>372</v>
      </c>
      <c r="AV98" s="17" t="s">
        <v>21</v>
      </c>
      <c r="AW98" s="17">
        <v>180</v>
      </c>
      <c r="AX98" s="17" t="s">
        <v>22</v>
      </c>
      <c r="AY98" s="17" t="s">
        <v>373</v>
      </c>
      <c r="AZ98" s="180" t="s">
        <v>358</v>
      </c>
      <c r="BB98" s="4"/>
      <c r="BC98" s="4"/>
    </row>
    <row r="99" spans="1:55" ht="24.95" customHeight="1">
      <c r="A99" s="712"/>
      <c r="B99" s="734">
        <v>2</v>
      </c>
      <c r="C99" s="70" t="s">
        <v>834</v>
      </c>
      <c r="D99" s="79">
        <v>2</v>
      </c>
      <c r="E99" s="18" t="s">
        <v>32</v>
      </c>
      <c r="F99" s="72">
        <v>40</v>
      </c>
      <c r="G99" s="732">
        <v>0.95</v>
      </c>
      <c r="H99" s="733" t="s">
        <v>156</v>
      </c>
      <c r="I99" s="161">
        <v>22</v>
      </c>
      <c r="J99" s="73"/>
      <c r="K99" s="73"/>
      <c r="L99" s="73"/>
      <c r="M99" s="74"/>
      <c r="N99" s="3"/>
      <c r="O99" s="39" t="s">
        <v>364</v>
      </c>
      <c r="Q99" s="14" t="s">
        <v>35</v>
      </c>
      <c r="R99" s="35">
        <f>IFERROR(VLOOKUP(F90,$BB$5:$BC$40,2,FALSE),"")</f>
        <v>18</v>
      </c>
      <c r="S99" s="50" t="s">
        <v>32</v>
      </c>
      <c r="T99" s="50"/>
      <c r="V99" s="846" t="str">
        <f t="shared" ref="V99:V105" si="44">IF(AI99="","",AI99)</f>
        <v>Tequila blanco</v>
      </c>
      <c r="W99" s="848" t="str">
        <f t="shared" ref="W99:W105" si="45">IF(C98="","",IF(H98="QS","QS",D98&amp;" "&amp;E98))</f>
        <v>5 cl</v>
      </c>
      <c r="X99" s="81">
        <f t="shared" ref="X99:X105" si="46">IF(AN99="","",AN99)</f>
        <v>700</v>
      </c>
      <c r="Y99" s="836" t="str">
        <f t="shared" ref="Y99:Y105" si="47">IF(C98="","",IF(H98="QS","Qt. suffisante",IF(AN99="","",IF(AJ99="VOLUME",IF(AN99&gt;=1000,TEXT(AO99,"0.00")&amp;" "&amp;AP99,IF(AN99&gt;=10,TEXT(AO99,"0.0")&amp;" "&amp;AP99&amp;" ► "&amp;TEXT(AN99/1000,"0.000")&amp;" L",TEXT(AO99,"0.0")&amp;" "&amp;AP99)),IF(AJ99="MASSE",TEXT(AO99,"0.00")&amp;" "&amp;AP99,AO99&amp;" "&amp;AP99)))))</f>
        <v>70.0 cl ► 0.700 L</v>
      </c>
      <c r="Z99" s="839" t="str">
        <f>IF(OR(C98="",AJ99&lt;&gt;"VOLUME",AN106=0),"","≈ "&amp;TEXT(ROUND(AN99/AN106*10*2,0)/2,"0.0")&amp;"/10")</f>
        <v>≈ 6.0/10</v>
      </c>
      <c r="AA99" s="82" t="str">
        <f t="shared" ref="AA99:AA105" si="48">IF(AJ99="AUTRE",AO99,"")</f>
        <v/>
      </c>
      <c r="AB99" s="83" t="str">
        <f t="shared" ref="AB99:AB105" si="49">IF(C98="","",AP99)</f>
        <v>cl</v>
      </c>
      <c r="AC99" s="842">
        <f t="shared" ref="AC99:AC105" si="50">IF(C98="","",AQ99)</f>
        <v>280</v>
      </c>
      <c r="AD99" s="163">
        <f t="shared" ref="AD99:AD105" si="51">IF(C98="","",IF(ISNUMBER(F98),F98,0))</f>
        <v>40</v>
      </c>
      <c r="AE99" s="164">
        <f t="shared" ref="AE99:AE105" si="52">IF(C98="","",IF(ISNUMBER(I98),I98,""))</f>
        <v>25</v>
      </c>
      <c r="AF99" s="855">
        <f t="shared" ref="AF99:AF105" si="53">IF(C98="","",AR99)</f>
        <v>17.5</v>
      </c>
      <c r="AH99" s="84">
        <f t="shared" ref="AH99:AH105" si="54">IF(C98="","",B98)</f>
        <v>1</v>
      </c>
      <c r="AI99" s="85" t="str">
        <f t="shared" ref="AI99:AI105" si="55">IF(C98="","",C98)</f>
        <v>Tequila blanco</v>
      </c>
      <c r="AJ99" s="84" t="str">
        <f t="shared" ref="AJ99:AJ105" si="56">IF(C98="","",IFERROR(VLOOKUP(E98,$AU$5:$AY$121,2,FALSE),"UNITÉ ?"))</f>
        <v>VOLUME</v>
      </c>
      <c r="AK99" s="84">
        <f t="shared" ref="AK99:AK105" si="57">IF(C98="","",IFERROR(VLOOKUP(E98,$AU$5:$AY$121,3,FALSE),""))</f>
        <v>10</v>
      </c>
      <c r="AL99" s="84">
        <f t="shared" ref="AL99:AL105" si="58">IF(OR(C98="",H98="QS",NOT(ISNUMBER(D98))),"",D98*AK99)</f>
        <v>50</v>
      </c>
      <c r="AM99" s="84">
        <f>IF(C98="","",R91)</f>
        <v>14</v>
      </c>
      <c r="AN99" s="84">
        <f t="shared" ref="AN99:AN105" si="59">IF(C98="","",IF(H98="QS","",IF(AL99="","",IF(OR(H98="F",H98="FIXE"),AL99,AL99*AM99))))</f>
        <v>700</v>
      </c>
      <c r="AO99" s="84">
        <f t="shared" ref="AO99:AO105" si="60">IF(C98="","",IF(H98="QS","",IF(AN99="","",IF(AJ99="VOLUME",IF(AN99&gt;=1000,ROUND(AN99/1000,2),IF(AN99&gt;=10,ROUND(AN99/10,1),ROUND(AN99,1))),IF(AJ99="MASSE",IF(AN99&gt;=1000,ROUND(AN99/1000,2),ROUND(AN99,0)),ROUND(AN99,2))))))</f>
        <v>70</v>
      </c>
      <c r="AP99" s="84" t="str">
        <f t="shared" ref="AP99:AP105" si="61">IF(C98="","",IF(H98="QS","",IF(AN99="","",IF(AJ99="VOLUME",IF(AN99&gt;=1000,"L",IF(AN99&gt;=10,"cl","ml")),IF(AJ99="MASSE",IF(AN99&gt;=1000,"Kg","g"),IFERROR(VLOOKUP(E98,$AU$5:$AY$121,5,FALSE),E98))))))</f>
        <v>cl</v>
      </c>
      <c r="AQ99" s="84">
        <f t="shared" ref="AQ99:AQ105" si="62">IF(C98="","",IF(OR(AJ99&lt;&gt;"VOLUME",NOT(ISNUMBER(F98)),AN99=""),0,AN99*F98/100))</f>
        <v>280</v>
      </c>
      <c r="AR99" s="84">
        <f t="shared" ref="AR99:AR105" si="63">IF(C98="","",IF(H98="QS",0,IF(NOT(ISNUMBER(I98)),0,IF(OR(AJ99="VOLUME",AJ99="MASSE"),AN99/1000*I98,AN99*I98))))</f>
        <v>17.5</v>
      </c>
      <c r="AS99" s="84" t="str">
        <f t="shared" ref="AS99:AS105" si="64">IF(C98="","",IF(H98="QS","OK",IF(NOT(ISNUMBER(D98)),"QUANTITÉ ?",IF(E98="","UNITÉ ?",IF(AJ99="UNITÉ ?","UNITÉ ?",IF(AND(H98&lt;&gt;"",H98&lt;&gt;"PROP",H98&lt;&gt;"F",H98&lt;&gt;"FIXE",H98&lt;&gt;"QS"),"RÈGLE ?","OK"))))))</f>
        <v>OK</v>
      </c>
      <c r="AU99" s="39" t="s">
        <v>268</v>
      </c>
      <c r="AV99" s="17" t="s">
        <v>21</v>
      </c>
      <c r="AW99" s="17">
        <v>240</v>
      </c>
      <c r="AX99" s="17" t="s">
        <v>22</v>
      </c>
      <c r="AY99" s="17" t="s">
        <v>374</v>
      </c>
      <c r="AZ99" s="181" t="s">
        <v>375</v>
      </c>
      <c r="BB99" s="4"/>
      <c r="BC99" s="4"/>
    </row>
    <row r="100" spans="1:55" ht="24.95" customHeight="1">
      <c r="A100" s="712"/>
      <c r="B100" s="731">
        <v>3</v>
      </c>
      <c r="C100" s="70" t="s">
        <v>7279</v>
      </c>
      <c r="D100" s="79">
        <v>1.5</v>
      </c>
      <c r="E100" s="18" t="s">
        <v>32</v>
      </c>
      <c r="F100" s="72">
        <v>0</v>
      </c>
      <c r="G100" s="732">
        <v>1.03</v>
      </c>
      <c r="H100" s="733" t="s">
        <v>156</v>
      </c>
      <c r="I100" s="161">
        <v>3</v>
      </c>
      <c r="J100" s="73"/>
      <c r="K100" s="73" t="s">
        <v>7280</v>
      </c>
      <c r="L100" s="73"/>
      <c r="M100" s="74"/>
      <c r="N100" s="3"/>
      <c r="O100" s="39" t="s">
        <v>367</v>
      </c>
      <c r="V100" s="846" t="str">
        <f t="shared" si="44"/>
        <v>Triple sec</v>
      </c>
      <c r="W100" s="848" t="str">
        <f t="shared" si="45"/>
        <v>2 cl</v>
      </c>
      <c r="X100" s="81">
        <f t="shared" si="46"/>
        <v>280</v>
      </c>
      <c r="Y100" s="836" t="str">
        <f t="shared" si="47"/>
        <v>28.0 cl ► 0.280 L</v>
      </c>
      <c r="Z100" s="839" t="str">
        <f>IF(OR(C99="",AJ100&lt;&gt;"VOLUME",AN106=0),"","≈ "&amp;TEXT(ROUND(AN100/AN106*10*2,0)/2,"0.0")&amp;"/10")</f>
        <v>≈ 2.5/10</v>
      </c>
      <c r="AA100" s="82" t="str">
        <f t="shared" si="48"/>
        <v/>
      </c>
      <c r="AB100" s="83" t="str">
        <f t="shared" si="49"/>
        <v>cl</v>
      </c>
      <c r="AC100" s="842">
        <f t="shared" si="50"/>
        <v>112</v>
      </c>
      <c r="AD100" s="163">
        <f t="shared" si="51"/>
        <v>40</v>
      </c>
      <c r="AE100" s="164">
        <f t="shared" si="52"/>
        <v>22</v>
      </c>
      <c r="AF100" s="855">
        <f t="shared" si="53"/>
        <v>6.16</v>
      </c>
      <c r="AH100" s="84">
        <f t="shared" si="54"/>
        <v>2</v>
      </c>
      <c r="AI100" s="85" t="str">
        <f t="shared" si="55"/>
        <v>Triple sec</v>
      </c>
      <c r="AJ100" s="84" t="str">
        <f t="shared" si="56"/>
        <v>VOLUME</v>
      </c>
      <c r="AK100" s="84">
        <f t="shared" si="57"/>
        <v>10</v>
      </c>
      <c r="AL100" s="84">
        <f t="shared" si="58"/>
        <v>20</v>
      </c>
      <c r="AM100" s="84">
        <f>IF(C99="","",R91)</f>
        <v>14</v>
      </c>
      <c r="AN100" s="84">
        <f t="shared" si="59"/>
        <v>280</v>
      </c>
      <c r="AO100" s="84">
        <f t="shared" si="60"/>
        <v>28</v>
      </c>
      <c r="AP100" s="84" t="str">
        <f t="shared" si="61"/>
        <v>cl</v>
      </c>
      <c r="AQ100" s="84">
        <f t="shared" si="62"/>
        <v>112</v>
      </c>
      <c r="AR100" s="84">
        <f t="shared" si="63"/>
        <v>6.16</v>
      </c>
      <c r="AS100" s="84" t="str">
        <f t="shared" si="64"/>
        <v>OK</v>
      </c>
      <c r="AU100" s="39" t="s">
        <v>273</v>
      </c>
      <c r="AV100" s="17" t="s">
        <v>21</v>
      </c>
      <c r="AW100" s="17">
        <v>300</v>
      </c>
      <c r="AX100" s="17" t="s">
        <v>22</v>
      </c>
      <c r="AY100" s="17" t="s">
        <v>376</v>
      </c>
      <c r="AZ100" s="181" t="s">
        <v>375</v>
      </c>
      <c r="BB100" s="4"/>
      <c r="BC100" s="4"/>
    </row>
    <row r="101" spans="1:55" ht="24.95" customHeight="1">
      <c r="A101" s="712"/>
      <c r="B101" s="734">
        <v>4</v>
      </c>
      <c r="C101" s="70" t="s">
        <v>7298</v>
      </c>
      <c r="D101" s="79"/>
      <c r="E101" s="53" t="s">
        <v>151</v>
      </c>
      <c r="F101" s="72"/>
      <c r="G101" s="732">
        <v>1</v>
      </c>
      <c r="H101" s="733" t="s">
        <v>151</v>
      </c>
      <c r="I101" s="161">
        <v>0.8</v>
      </c>
      <c r="J101" s="73"/>
      <c r="K101" s="73" t="s">
        <v>7299</v>
      </c>
      <c r="L101" s="73"/>
      <c r="M101" s="74"/>
      <c r="N101" s="3"/>
      <c r="O101" s="39" t="s">
        <v>352</v>
      </c>
      <c r="Q101" s="744" t="s">
        <v>566</v>
      </c>
      <c r="V101" s="846" t="str">
        <f t="shared" si="44"/>
        <v>Jus de citron vert</v>
      </c>
      <c r="W101" s="848" t="str">
        <f t="shared" si="45"/>
        <v>1.5 cl</v>
      </c>
      <c r="X101" s="81">
        <f t="shared" si="46"/>
        <v>210</v>
      </c>
      <c r="Y101" s="836" t="str">
        <f t="shared" si="47"/>
        <v>21.0 cl ► 0.210 L</v>
      </c>
      <c r="Z101" s="839" t="str">
        <f>IF(OR(C100="",AJ101&lt;&gt;"VOLUME",AN106=0),"","≈ "&amp;TEXT(ROUND(AN101/AN106*10*2,0)/2,"0.0")&amp;"/10")</f>
        <v>≈ 2.0/10</v>
      </c>
      <c r="AA101" s="82" t="str">
        <f t="shared" si="48"/>
        <v/>
      </c>
      <c r="AB101" s="83" t="str">
        <f t="shared" si="49"/>
        <v>cl</v>
      </c>
      <c r="AC101" s="842">
        <f t="shared" si="50"/>
        <v>0</v>
      </c>
      <c r="AD101" s="163">
        <f t="shared" si="51"/>
        <v>0</v>
      </c>
      <c r="AE101" s="164">
        <f t="shared" si="52"/>
        <v>3</v>
      </c>
      <c r="AF101" s="855">
        <f t="shared" si="53"/>
        <v>0.63</v>
      </c>
      <c r="AH101" s="84">
        <f t="shared" si="54"/>
        <v>3</v>
      </c>
      <c r="AI101" s="85" t="str">
        <f t="shared" si="55"/>
        <v>Jus de citron vert</v>
      </c>
      <c r="AJ101" s="84" t="str">
        <f t="shared" si="56"/>
        <v>VOLUME</v>
      </c>
      <c r="AK101" s="84">
        <f t="shared" si="57"/>
        <v>10</v>
      </c>
      <c r="AL101" s="84">
        <f t="shared" si="58"/>
        <v>15</v>
      </c>
      <c r="AM101" s="84">
        <f>IF(C100="","",R91)</f>
        <v>14</v>
      </c>
      <c r="AN101" s="84">
        <f t="shared" si="59"/>
        <v>210</v>
      </c>
      <c r="AO101" s="84">
        <f t="shared" si="60"/>
        <v>21</v>
      </c>
      <c r="AP101" s="84" t="str">
        <f t="shared" si="61"/>
        <v>cl</v>
      </c>
      <c r="AQ101" s="84">
        <f t="shared" si="62"/>
        <v>0</v>
      </c>
      <c r="AR101" s="84">
        <f t="shared" si="63"/>
        <v>0.63</v>
      </c>
      <c r="AS101" s="84" t="str">
        <f t="shared" si="64"/>
        <v>OK</v>
      </c>
      <c r="AU101" s="39" t="s">
        <v>29</v>
      </c>
      <c r="AV101" s="17" t="s">
        <v>21</v>
      </c>
      <c r="AW101" s="17">
        <v>350</v>
      </c>
      <c r="AX101" s="17" t="s">
        <v>22</v>
      </c>
      <c r="AY101" s="17" t="s">
        <v>377</v>
      </c>
      <c r="AZ101" s="181" t="s">
        <v>375</v>
      </c>
      <c r="BB101" s="4"/>
      <c r="BC101" s="4"/>
    </row>
    <row r="102" spans="1:55" ht="24.95" customHeight="1">
      <c r="A102" s="712"/>
      <c r="B102" s="731">
        <v>5</v>
      </c>
      <c r="C102" s="70" t="s">
        <v>188</v>
      </c>
      <c r="D102" s="79"/>
      <c r="E102" s="53" t="s">
        <v>151</v>
      </c>
      <c r="F102" s="72"/>
      <c r="G102" s="732">
        <v>1</v>
      </c>
      <c r="H102" s="733" t="s">
        <v>151</v>
      </c>
      <c r="I102" s="161">
        <v>0</v>
      </c>
      <c r="J102" s="73"/>
      <c r="K102" s="73" t="s">
        <v>7300</v>
      </c>
      <c r="L102" s="73"/>
      <c r="M102" s="74"/>
      <c r="N102" s="3"/>
      <c r="O102" s="39" t="s">
        <v>378</v>
      </c>
      <c r="Q102" s="744"/>
      <c r="V102" s="846" t="str">
        <f t="shared" si="44"/>
        <v>Sel fin</v>
      </c>
      <c r="W102" s="848" t="str">
        <f t="shared" si="45"/>
        <v>QS</v>
      </c>
      <c r="X102" s="81" t="str">
        <f t="shared" si="46"/>
        <v/>
      </c>
      <c r="Y102" s="836" t="str">
        <f t="shared" si="47"/>
        <v>Qt. suffisante</v>
      </c>
      <c r="Z102" s="839" t="str">
        <f>IF(OR(C101="",AJ102&lt;&gt;"VOLUME",AN106=0),"","≈ "&amp;TEXT(ROUND(AN102/AN106*10*2,0)/2,"0.0")&amp;"/10")</f>
        <v/>
      </c>
      <c r="AA102" s="82" t="str">
        <f t="shared" si="48"/>
        <v/>
      </c>
      <c r="AB102" s="83" t="str">
        <f t="shared" si="49"/>
        <v/>
      </c>
      <c r="AC102" s="842">
        <f t="shared" si="50"/>
        <v>0</v>
      </c>
      <c r="AD102" s="163">
        <f t="shared" si="51"/>
        <v>0</v>
      </c>
      <c r="AE102" s="164">
        <f t="shared" si="52"/>
        <v>0.8</v>
      </c>
      <c r="AF102" s="855">
        <f t="shared" si="53"/>
        <v>0</v>
      </c>
      <c r="AH102" s="84">
        <f t="shared" si="54"/>
        <v>4</v>
      </c>
      <c r="AI102" s="85" t="str">
        <f t="shared" si="55"/>
        <v>Sel fin</v>
      </c>
      <c r="AJ102" s="84" t="str">
        <f t="shared" si="56"/>
        <v>AUTRE</v>
      </c>
      <c r="AK102" s="84">
        <f t="shared" si="57"/>
        <v>1</v>
      </c>
      <c r="AL102" s="84" t="str">
        <f t="shared" si="58"/>
        <v/>
      </c>
      <c r="AM102" s="84">
        <f>IF(C101="","",R91)</f>
        <v>14</v>
      </c>
      <c r="AN102" s="84" t="str">
        <f t="shared" si="59"/>
        <v/>
      </c>
      <c r="AO102" s="84" t="str">
        <f t="shared" si="60"/>
        <v/>
      </c>
      <c r="AP102" s="84" t="str">
        <f t="shared" si="61"/>
        <v/>
      </c>
      <c r="AQ102" s="84">
        <f t="shared" si="62"/>
        <v>0</v>
      </c>
      <c r="AR102" s="84">
        <f t="shared" si="63"/>
        <v>0</v>
      </c>
      <c r="AS102" s="84" t="str">
        <f t="shared" si="64"/>
        <v>OK</v>
      </c>
      <c r="AU102" s="39" t="s">
        <v>280</v>
      </c>
      <c r="AV102" s="17" t="s">
        <v>21</v>
      </c>
      <c r="AW102" s="17">
        <v>350</v>
      </c>
      <c r="AX102" s="17" t="s">
        <v>22</v>
      </c>
      <c r="AY102" s="17" t="s">
        <v>280</v>
      </c>
      <c r="AZ102" s="181" t="s">
        <v>375</v>
      </c>
      <c r="BB102" s="4"/>
      <c r="BC102" s="4"/>
    </row>
    <row r="103" spans="1:55" ht="24.95" customHeight="1">
      <c r="A103" s="712"/>
      <c r="B103" s="734"/>
      <c r="C103" s="70"/>
      <c r="D103" s="79"/>
      <c r="E103" s="3"/>
      <c r="F103" s="72"/>
      <c r="G103" s="732"/>
      <c r="H103" s="733"/>
      <c r="I103" s="161"/>
      <c r="J103" s="73"/>
      <c r="K103" s="73"/>
      <c r="L103" s="73"/>
      <c r="M103" s="74"/>
      <c r="N103" s="3"/>
      <c r="O103" s="39" t="s">
        <v>249</v>
      </c>
      <c r="V103" s="846" t="str">
        <f t="shared" si="44"/>
        <v>Glace</v>
      </c>
      <c r="W103" s="848" t="str">
        <f t="shared" si="45"/>
        <v>QS</v>
      </c>
      <c r="X103" s="81" t="str">
        <f t="shared" si="46"/>
        <v/>
      </c>
      <c r="Y103" s="836" t="str">
        <f t="shared" si="47"/>
        <v>Qt. suffisante</v>
      </c>
      <c r="Z103" s="839" t="str">
        <f>IF(OR(C102="",AJ103&lt;&gt;"VOLUME",AN106=0),"","≈ "&amp;TEXT(ROUND(AN103/AN106*10*2,0)/2,"0.0")&amp;"/10")</f>
        <v/>
      </c>
      <c r="AA103" s="80" t="str">
        <f t="shared" si="48"/>
        <v/>
      </c>
      <c r="AB103" s="83" t="str">
        <f t="shared" si="49"/>
        <v/>
      </c>
      <c r="AC103" s="842">
        <f t="shared" si="50"/>
        <v>0</v>
      </c>
      <c r="AD103" s="163">
        <f t="shared" si="51"/>
        <v>0</v>
      </c>
      <c r="AE103" s="164">
        <f t="shared" si="52"/>
        <v>0</v>
      </c>
      <c r="AF103" s="855">
        <f t="shared" si="53"/>
        <v>0</v>
      </c>
      <c r="AH103" s="84">
        <f t="shared" si="54"/>
        <v>5</v>
      </c>
      <c r="AI103" s="85" t="str">
        <f t="shared" si="55"/>
        <v>Glace</v>
      </c>
      <c r="AJ103" s="84" t="str">
        <f t="shared" si="56"/>
        <v>AUTRE</v>
      </c>
      <c r="AK103" s="84">
        <f t="shared" si="57"/>
        <v>1</v>
      </c>
      <c r="AL103" s="84" t="str">
        <f t="shared" si="58"/>
        <v/>
      </c>
      <c r="AM103" s="84">
        <f>IF(C102="","",R91)</f>
        <v>14</v>
      </c>
      <c r="AN103" s="84" t="str">
        <f t="shared" si="59"/>
        <v/>
      </c>
      <c r="AO103" s="84" t="str">
        <f t="shared" si="60"/>
        <v/>
      </c>
      <c r="AP103" s="84" t="str">
        <f t="shared" si="61"/>
        <v/>
      </c>
      <c r="AQ103" s="84">
        <f t="shared" si="62"/>
        <v>0</v>
      </c>
      <c r="AR103" s="84">
        <f t="shared" si="63"/>
        <v>0</v>
      </c>
      <c r="AS103" s="84" t="str">
        <f t="shared" si="64"/>
        <v>OK</v>
      </c>
      <c r="AU103" s="39" t="s">
        <v>283</v>
      </c>
      <c r="AV103" s="17" t="s">
        <v>21</v>
      </c>
      <c r="AW103" s="17">
        <v>300</v>
      </c>
      <c r="AX103" s="17" t="s">
        <v>22</v>
      </c>
      <c r="AY103" s="17" t="s">
        <v>379</v>
      </c>
      <c r="AZ103" s="181" t="s">
        <v>375</v>
      </c>
      <c r="BB103" s="4"/>
      <c r="BC103" s="4"/>
    </row>
    <row r="104" spans="1:55" ht="24.95" customHeight="1">
      <c r="A104" s="712"/>
      <c r="B104" s="731"/>
      <c r="C104" s="70"/>
      <c r="D104" s="79"/>
      <c r="E104" s="3"/>
      <c r="F104" s="72"/>
      <c r="G104" s="732"/>
      <c r="H104" s="733"/>
      <c r="I104" s="161"/>
      <c r="J104" s="73"/>
      <c r="K104" s="73"/>
      <c r="L104" s="73"/>
      <c r="M104" s="74"/>
      <c r="N104" s="3"/>
      <c r="O104" s="39" t="s">
        <v>380</v>
      </c>
      <c r="Q104" s="355" t="s">
        <v>558</v>
      </c>
      <c r="V104" s="847" t="str">
        <f t="shared" si="44"/>
        <v/>
      </c>
      <c r="W104" s="849" t="str">
        <f t="shared" si="45"/>
        <v/>
      </c>
      <c r="X104" s="86" t="str">
        <f t="shared" si="46"/>
        <v/>
      </c>
      <c r="Y104" s="837" t="str">
        <f t="shared" si="47"/>
        <v/>
      </c>
      <c r="Z104" s="840" t="str">
        <f>IF(OR(C103="",AJ104&lt;&gt;"VOLUME",AN106=0),"","≈ "&amp;TEXT(ROUND(AN104/AN106*10*2,0)/2,"0.0")&amp;"/10")</f>
        <v/>
      </c>
      <c r="AA104" s="87" t="str">
        <f t="shared" si="48"/>
        <v/>
      </c>
      <c r="AB104" s="88" t="str">
        <f t="shared" si="49"/>
        <v/>
      </c>
      <c r="AC104" s="843" t="str">
        <f t="shared" si="50"/>
        <v/>
      </c>
      <c r="AD104" s="88" t="str">
        <f t="shared" si="51"/>
        <v/>
      </c>
      <c r="AE104" s="88" t="str">
        <f t="shared" si="52"/>
        <v/>
      </c>
      <c r="AF104" s="834" t="str">
        <f t="shared" si="53"/>
        <v/>
      </c>
      <c r="AH104" s="84" t="str">
        <f t="shared" si="54"/>
        <v/>
      </c>
      <c r="AI104" s="85" t="str">
        <f t="shared" si="55"/>
        <v/>
      </c>
      <c r="AJ104" s="84" t="str">
        <f t="shared" si="56"/>
        <v/>
      </c>
      <c r="AK104" s="84" t="str">
        <f t="shared" si="57"/>
        <v/>
      </c>
      <c r="AL104" s="84" t="str">
        <f t="shared" si="58"/>
        <v/>
      </c>
      <c r="AM104" s="84" t="str">
        <f>IF(C103="","",R91)</f>
        <v/>
      </c>
      <c r="AN104" s="84" t="str">
        <f t="shared" si="59"/>
        <v/>
      </c>
      <c r="AO104" s="84" t="str">
        <f t="shared" si="60"/>
        <v/>
      </c>
      <c r="AP104" s="84" t="str">
        <f t="shared" si="61"/>
        <v/>
      </c>
      <c r="AQ104" s="84" t="str">
        <f t="shared" si="62"/>
        <v/>
      </c>
      <c r="AR104" s="84" t="str">
        <f t="shared" si="63"/>
        <v/>
      </c>
      <c r="AS104" s="84" t="str">
        <f t="shared" si="64"/>
        <v/>
      </c>
      <c r="AU104" s="39" t="s">
        <v>299</v>
      </c>
      <c r="AV104" s="17" t="s">
        <v>21</v>
      </c>
      <c r="AW104" s="17">
        <v>240</v>
      </c>
      <c r="AX104" s="17" t="s">
        <v>22</v>
      </c>
      <c r="AY104" s="17" t="s">
        <v>381</v>
      </c>
      <c r="AZ104" s="181" t="s">
        <v>375</v>
      </c>
      <c r="BB104" s="4"/>
      <c r="BC104" s="4"/>
    </row>
    <row r="105" spans="1:55" ht="24.95" customHeight="1">
      <c r="A105" s="712"/>
      <c r="B105" s="14" t="s">
        <v>44</v>
      </c>
      <c r="C105" s="146" t="s">
        <v>198</v>
      </c>
      <c r="D105" s="89"/>
      <c r="E105" s="89"/>
      <c r="F105" s="89"/>
      <c r="G105" s="89"/>
      <c r="H105" s="89"/>
      <c r="I105" s="89"/>
      <c r="J105" s="89"/>
      <c r="K105" s="89"/>
      <c r="L105" s="89"/>
      <c r="M105" s="90"/>
      <c r="N105" s="3"/>
      <c r="O105" s="39" t="s">
        <v>382</v>
      </c>
      <c r="Q105"/>
      <c r="V105" s="847" t="str">
        <f t="shared" si="44"/>
        <v/>
      </c>
      <c r="W105" s="849" t="str">
        <f t="shared" si="45"/>
        <v/>
      </c>
      <c r="X105" s="86" t="str">
        <f t="shared" si="46"/>
        <v/>
      </c>
      <c r="Y105" s="837" t="str">
        <f t="shared" si="47"/>
        <v/>
      </c>
      <c r="Z105" s="840" t="str">
        <f>IF(OR(C104="",AJ105&lt;&gt;"VOLUME",AN106=0),"","≈ "&amp;TEXT(ROUND(AN105/AN106*10*2,0)/2,"0.0")&amp;"/10")</f>
        <v/>
      </c>
      <c r="AA105" s="87" t="str">
        <f t="shared" si="48"/>
        <v/>
      </c>
      <c r="AB105" s="88" t="str">
        <f t="shared" si="49"/>
        <v/>
      </c>
      <c r="AC105" s="843" t="str">
        <f t="shared" si="50"/>
        <v/>
      </c>
      <c r="AD105" s="88" t="str">
        <f t="shared" si="51"/>
        <v/>
      </c>
      <c r="AE105" s="88" t="str">
        <f t="shared" si="52"/>
        <v/>
      </c>
      <c r="AF105" s="834" t="str">
        <f t="shared" si="53"/>
        <v/>
      </c>
      <c r="AH105" s="84" t="str">
        <f t="shared" si="54"/>
        <v/>
      </c>
      <c r="AI105" s="85" t="str">
        <f t="shared" si="55"/>
        <v/>
      </c>
      <c r="AJ105" s="84" t="str">
        <f t="shared" si="56"/>
        <v/>
      </c>
      <c r="AK105" s="84" t="str">
        <f t="shared" si="57"/>
        <v/>
      </c>
      <c r="AL105" s="84" t="str">
        <f t="shared" si="58"/>
        <v/>
      </c>
      <c r="AM105" s="84" t="str">
        <f>IF(C104="","",R91)</f>
        <v/>
      </c>
      <c r="AN105" s="84" t="str">
        <f t="shared" si="59"/>
        <v/>
      </c>
      <c r="AO105" s="84" t="str">
        <f t="shared" si="60"/>
        <v/>
      </c>
      <c r="AP105" s="84" t="str">
        <f t="shared" si="61"/>
        <v/>
      </c>
      <c r="AQ105" s="84" t="str">
        <f t="shared" si="62"/>
        <v/>
      </c>
      <c r="AR105" s="84" t="str">
        <f t="shared" si="63"/>
        <v/>
      </c>
      <c r="AS105" s="84" t="str">
        <f t="shared" si="64"/>
        <v/>
      </c>
      <c r="AU105" s="39" t="s">
        <v>313</v>
      </c>
      <c r="AV105" s="17" t="s">
        <v>21</v>
      </c>
      <c r="AW105" s="17">
        <v>200</v>
      </c>
      <c r="AX105" s="17" t="s">
        <v>22</v>
      </c>
      <c r="AY105" s="17" t="s">
        <v>383</v>
      </c>
      <c r="AZ105" s="181" t="s">
        <v>375</v>
      </c>
      <c r="BB105" s="4"/>
      <c r="BC105" s="4"/>
    </row>
    <row r="106" spans="1:55" ht="24.95" customHeight="1">
      <c r="A106" s="712"/>
      <c r="B106" s="91">
        <v>0</v>
      </c>
      <c r="C106" s="10" t="s">
        <v>491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92"/>
      <c r="N106" s="3"/>
      <c r="O106" s="39" t="s">
        <v>353</v>
      </c>
      <c r="Q106" s="29" t="s">
        <v>70</v>
      </c>
      <c r="V106" s="851" t="s">
        <v>203</v>
      </c>
      <c r="W106" s="93"/>
      <c r="X106" s="845">
        <f>AN106</f>
        <v>1190</v>
      </c>
      <c r="Y106" s="835" t="str">
        <f>IF(AN106=0,"",TEXT(AN106/1000,"0.000")&amp;" L")</f>
        <v>1.190 L</v>
      </c>
      <c r="Z106" s="857"/>
      <c r="AA106" s="93"/>
      <c r="AB106" s="93"/>
      <c r="AC106" s="832">
        <f>AQ106</f>
        <v>392</v>
      </c>
      <c r="AD106" s="844">
        <f>IF(AN106=0,"",AQ106/AN106*100)</f>
        <v>32.941176470588232</v>
      </c>
      <c r="AE106" s="93"/>
      <c r="AF106" s="856">
        <f>AR106</f>
        <v>24.29</v>
      </c>
      <c r="AH106" s="94" t="s">
        <v>203</v>
      </c>
      <c r="AI106" s="94"/>
      <c r="AJ106" s="94"/>
      <c r="AK106" s="94"/>
      <c r="AL106" s="94"/>
      <c r="AM106" s="94"/>
      <c r="AN106" s="94">
        <f>SUMIF(AJ99:AJ105,"VOLUME",AN99:AN105)</f>
        <v>1190</v>
      </c>
      <c r="AO106" s="94"/>
      <c r="AP106" s="94"/>
      <c r="AQ106" s="94">
        <f>SUM(AQ99:AQ105)</f>
        <v>392</v>
      </c>
      <c r="AR106" s="94">
        <f>SUM(AR99:AR105)</f>
        <v>24.29</v>
      </c>
      <c r="AS106" s="94" t="str">
        <f>IF(COUNTIF(AS99:AS105,"&lt;&gt;OK")-COUNTBLANK(AS99:AS105)=0,"OK","À CONTRÔLER")</f>
        <v>OK</v>
      </c>
      <c r="AU106" s="39" t="s">
        <v>316</v>
      </c>
      <c r="AV106" s="17" t="s">
        <v>21</v>
      </c>
      <c r="AW106" s="17">
        <v>150</v>
      </c>
      <c r="AX106" s="17" t="s">
        <v>22</v>
      </c>
      <c r="AY106" s="17" t="s">
        <v>384</v>
      </c>
      <c r="AZ106" s="181" t="s">
        <v>375</v>
      </c>
      <c r="BB106" s="4"/>
      <c r="BC106" s="4"/>
    </row>
    <row r="107" spans="1:55" ht="24.95" customHeight="1">
      <c r="A107" s="712"/>
      <c r="B107" s="95">
        <v>1</v>
      </c>
      <c r="C107" s="96" t="s">
        <v>7301</v>
      </c>
      <c r="D107" s="96"/>
      <c r="E107" s="96"/>
      <c r="F107" s="96"/>
      <c r="G107" s="96"/>
      <c r="H107" s="96"/>
      <c r="I107" s="96"/>
      <c r="J107" s="96"/>
      <c r="K107" s="96"/>
      <c r="L107" s="96"/>
      <c r="M107" s="74"/>
      <c r="N107" s="3"/>
      <c r="O107" s="39" t="s">
        <v>201</v>
      </c>
      <c r="Q107" s="184"/>
      <c r="V107" s="832" t="s">
        <v>208</v>
      </c>
      <c r="W107" s="19" t="s">
        <v>209</v>
      </c>
      <c r="X107" s="36"/>
      <c r="Y107" s="858"/>
      <c r="Z107" s="859"/>
      <c r="AA107" s="97"/>
      <c r="AB107" s="97"/>
      <c r="AC107" s="97"/>
      <c r="AD107" s="97"/>
      <c r="AE107" s="97"/>
      <c r="AF107" s="860"/>
      <c r="AH107" s="3" t="s">
        <v>6994</v>
      </c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U107" s="39" t="s">
        <v>318</v>
      </c>
      <c r="AV107" s="17" t="s">
        <v>21</v>
      </c>
      <c r="AW107" s="17">
        <v>180</v>
      </c>
      <c r="AX107" s="17" t="s">
        <v>22</v>
      </c>
      <c r="AY107" s="17" t="s">
        <v>385</v>
      </c>
      <c r="AZ107" s="181" t="s">
        <v>375</v>
      </c>
      <c r="BB107" s="4"/>
      <c r="BC107" s="4"/>
    </row>
    <row r="108" spans="1:55" ht="24.95" customHeight="1">
      <c r="A108" s="712"/>
      <c r="B108" s="95">
        <v>2</v>
      </c>
      <c r="C108" s="96" t="s">
        <v>7302</v>
      </c>
      <c r="D108" s="96"/>
      <c r="E108" s="96"/>
      <c r="F108" s="96"/>
      <c r="G108" s="96"/>
      <c r="H108" s="96"/>
      <c r="I108" s="96"/>
      <c r="J108" s="96"/>
      <c r="K108" s="96"/>
      <c r="L108" s="96"/>
      <c r="M108" s="74"/>
      <c r="N108" s="3"/>
      <c r="O108" s="39" t="s">
        <v>370</v>
      </c>
      <c r="P108" s="3"/>
      <c r="Q108" s="29" t="s">
        <v>584</v>
      </c>
      <c r="V108" s="98" t="str">
        <f t="shared" ref="V108:V115" si="65">IF(C107="","",C107)</f>
        <v>Refroidir la coupette.</v>
      </c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H108" s="146" t="s">
        <v>214</v>
      </c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3"/>
      <c r="AU108" s="39" t="s">
        <v>320</v>
      </c>
      <c r="AV108" s="17" t="s">
        <v>21</v>
      </c>
      <c r="AW108" s="17">
        <v>150</v>
      </c>
      <c r="AX108" s="17" t="s">
        <v>22</v>
      </c>
      <c r="AY108" s="17" t="s">
        <v>386</v>
      </c>
      <c r="AZ108" s="181" t="s">
        <v>375</v>
      </c>
      <c r="BB108" s="4"/>
      <c r="BC108" s="4"/>
    </row>
    <row r="109" spans="1:55" ht="24.95" customHeight="1">
      <c r="A109" s="712"/>
      <c r="B109" s="95">
        <v>3</v>
      </c>
      <c r="C109" s="96" t="s">
        <v>7303</v>
      </c>
      <c r="D109" s="96"/>
      <c r="E109" s="96"/>
      <c r="F109" s="96"/>
      <c r="G109" s="96"/>
      <c r="H109" s="96"/>
      <c r="I109" s="96"/>
      <c r="J109" s="96"/>
      <c r="K109" s="96"/>
      <c r="L109" s="96"/>
      <c r="M109" s="74"/>
      <c r="N109" s="3"/>
      <c r="O109" s="39" t="s">
        <v>205</v>
      </c>
      <c r="P109" s="3"/>
      <c r="Q109"/>
      <c r="R109" s="3"/>
      <c r="S109" s="3"/>
      <c r="T109" s="3"/>
      <c r="U109" s="3"/>
      <c r="V109" s="98" t="str">
        <f t="shared" si="65"/>
        <v>Humidifier partiellement le bord avec du citron vert.</v>
      </c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H109" s="165" t="s">
        <v>219</v>
      </c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U109" s="39" t="s">
        <v>336</v>
      </c>
      <c r="AV109" s="17" t="s">
        <v>21</v>
      </c>
      <c r="AW109" s="17">
        <v>270</v>
      </c>
      <c r="AX109" s="17" t="s">
        <v>22</v>
      </c>
      <c r="AY109" s="17" t="s">
        <v>387</v>
      </c>
      <c r="AZ109" s="181" t="s">
        <v>375</v>
      </c>
      <c r="BB109" s="4"/>
      <c r="BC109" s="4"/>
    </row>
    <row r="110" spans="1:55" ht="24.95" customHeight="1">
      <c r="A110" s="712"/>
      <c r="B110" s="95">
        <v>4</v>
      </c>
      <c r="C110" s="96" t="s">
        <v>7304</v>
      </c>
      <c r="D110" s="96"/>
      <c r="E110" s="96"/>
      <c r="F110" s="96"/>
      <c r="G110" s="96"/>
      <c r="H110" s="96"/>
      <c r="I110" s="96"/>
      <c r="J110" s="96"/>
      <c r="K110" s="96"/>
      <c r="L110" s="96"/>
      <c r="M110" s="74"/>
      <c r="N110" s="3"/>
      <c r="O110" s="39" t="s">
        <v>388</v>
      </c>
      <c r="P110" s="3"/>
      <c r="Q110" s="356" t="s">
        <v>564</v>
      </c>
      <c r="R110" s="3"/>
      <c r="S110" s="3"/>
      <c r="T110" s="3"/>
      <c r="U110" s="3"/>
      <c r="V110" s="98" t="str">
        <f t="shared" si="65"/>
        <v>Givrer finement le bord au sel.</v>
      </c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  <c r="AH110" s="166" t="s">
        <v>222</v>
      </c>
      <c r="AI110" s="167" t="s">
        <v>223</v>
      </c>
      <c r="AJ110" s="165"/>
      <c r="AK110" s="167" t="s">
        <v>224</v>
      </c>
      <c r="AL110" s="165"/>
      <c r="AM110" s="165"/>
      <c r="AN110" s="165"/>
      <c r="AO110" s="167" t="s">
        <v>225</v>
      </c>
      <c r="AP110" s="165"/>
      <c r="AQ110" s="165"/>
      <c r="AR110" s="165"/>
      <c r="AU110" s="39" t="s">
        <v>338</v>
      </c>
      <c r="AV110" s="17" t="s">
        <v>21</v>
      </c>
      <c r="AW110" s="17">
        <v>250</v>
      </c>
      <c r="AX110" s="17" t="s">
        <v>22</v>
      </c>
      <c r="AY110" s="17" t="s">
        <v>389</v>
      </c>
      <c r="AZ110" s="181" t="s">
        <v>375</v>
      </c>
      <c r="BB110" s="4"/>
      <c r="BC110" s="4"/>
    </row>
    <row r="111" spans="1:55" ht="24.95" customHeight="1">
      <c r="A111" s="712"/>
      <c r="B111" s="95">
        <v>5</v>
      </c>
      <c r="C111" s="96" t="s">
        <v>7305</v>
      </c>
      <c r="D111" s="96"/>
      <c r="E111" s="96"/>
      <c r="F111" s="96"/>
      <c r="G111" s="96"/>
      <c r="H111" s="96"/>
      <c r="I111" s="96"/>
      <c r="J111" s="96"/>
      <c r="K111" s="96"/>
      <c r="L111" s="96"/>
      <c r="M111" s="74"/>
      <c r="N111" s="3"/>
      <c r="O111" s="39" t="s">
        <v>390</v>
      </c>
      <c r="P111" s="3"/>
      <c r="Q111"/>
      <c r="R111" s="3"/>
      <c r="S111" s="3"/>
      <c r="T111" s="3"/>
      <c r="U111" s="3"/>
      <c r="V111" s="98" t="str">
        <f t="shared" si="65"/>
        <v>Verser tequila, triple sec et jus de citron vert dans le shaker.</v>
      </c>
      <c r="W111" s="98"/>
      <c r="X111" s="98"/>
      <c r="Y111" s="98"/>
      <c r="Z111" s="98"/>
      <c r="AA111" s="98"/>
      <c r="AB111" s="98"/>
      <c r="AC111" s="98"/>
      <c r="AD111" s="98"/>
      <c r="AE111" s="98"/>
      <c r="AF111" s="98"/>
      <c r="AH111" s="750" t="s">
        <v>156</v>
      </c>
      <c r="AI111" s="748" t="s">
        <v>230</v>
      </c>
      <c r="AJ111" s="748"/>
      <c r="AK111" s="749" t="s">
        <v>231</v>
      </c>
      <c r="AL111" s="749"/>
      <c r="AM111" s="749"/>
      <c r="AN111" s="749"/>
      <c r="AO111" s="746" t="s">
        <v>232</v>
      </c>
      <c r="AP111" s="746"/>
      <c r="AQ111" s="746"/>
      <c r="AR111" s="746"/>
      <c r="AU111" s="39" t="s">
        <v>339</v>
      </c>
      <c r="AV111" s="17" t="s">
        <v>21</v>
      </c>
      <c r="AW111" s="17">
        <v>180</v>
      </c>
      <c r="AX111" s="17" t="s">
        <v>22</v>
      </c>
      <c r="AY111" s="17" t="s">
        <v>391</v>
      </c>
      <c r="AZ111" s="181" t="s">
        <v>375</v>
      </c>
      <c r="BB111" s="4"/>
      <c r="BC111" s="4"/>
    </row>
    <row r="112" spans="1:55" ht="24.95" customHeight="1">
      <c r="A112" s="712"/>
      <c r="B112" s="95">
        <v>6</v>
      </c>
      <c r="C112" s="96" t="s">
        <v>7306</v>
      </c>
      <c r="D112" s="96"/>
      <c r="E112" s="96"/>
      <c r="F112" s="96"/>
      <c r="G112" s="96"/>
      <c r="H112" s="96"/>
      <c r="I112" s="96"/>
      <c r="J112" s="96"/>
      <c r="K112" s="96"/>
      <c r="L112" s="96"/>
      <c r="M112" s="74"/>
      <c r="N112" s="3"/>
      <c r="O112" s="39" t="s">
        <v>125</v>
      </c>
      <c r="P112" s="3"/>
      <c r="Q112" s="356" t="s">
        <v>72</v>
      </c>
      <c r="R112" s="3"/>
      <c r="S112" s="3"/>
      <c r="T112" s="3"/>
      <c r="U112" s="3"/>
      <c r="V112" s="98" t="str">
        <f t="shared" si="65"/>
        <v>Ajouter la glace.</v>
      </c>
      <c r="W112" s="98"/>
      <c r="X112" s="98"/>
      <c r="Y112" s="98"/>
      <c r="Z112" s="98"/>
      <c r="AA112" s="98"/>
      <c r="AB112" s="98"/>
      <c r="AC112" s="98"/>
      <c r="AD112" s="98"/>
      <c r="AE112" s="98"/>
      <c r="AF112" s="98"/>
      <c r="AH112" s="750"/>
      <c r="AI112" s="748"/>
      <c r="AJ112" s="748"/>
      <c r="AK112" s="749"/>
      <c r="AL112" s="749"/>
      <c r="AM112" s="749"/>
      <c r="AN112" s="749"/>
      <c r="AO112" s="746"/>
      <c r="AP112" s="746"/>
      <c r="AQ112" s="746"/>
      <c r="AR112" s="746"/>
      <c r="AU112" s="39" t="s">
        <v>341</v>
      </c>
      <c r="AV112" s="17" t="s">
        <v>21</v>
      </c>
      <c r="AW112" s="17">
        <v>400</v>
      </c>
      <c r="AX112" s="17" t="s">
        <v>22</v>
      </c>
      <c r="AY112" s="17" t="s">
        <v>392</v>
      </c>
      <c r="AZ112" s="181" t="s">
        <v>375</v>
      </c>
      <c r="BB112" s="4"/>
      <c r="BC112" s="4"/>
    </row>
    <row r="113" spans="1:55" ht="24.95" customHeight="1">
      <c r="A113" s="712"/>
      <c r="B113" s="95">
        <v>7</v>
      </c>
      <c r="C113" s="96" t="s">
        <v>7307</v>
      </c>
      <c r="D113" s="96"/>
      <c r="E113" s="96"/>
      <c r="F113" s="96"/>
      <c r="G113" s="96"/>
      <c r="H113" s="96"/>
      <c r="I113" s="96"/>
      <c r="J113" s="96"/>
      <c r="K113" s="96"/>
      <c r="L113" s="96"/>
      <c r="M113" s="74"/>
      <c r="N113" s="3"/>
      <c r="O113" s="39" t="s">
        <v>211</v>
      </c>
      <c r="P113" s="3"/>
      <c r="Q113"/>
      <c r="R113" s="3"/>
      <c r="S113" s="3"/>
      <c r="T113" s="3"/>
      <c r="U113" s="3"/>
      <c r="V113" s="98" t="str">
        <f t="shared" si="65"/>
        <v>Shaker énergiquement.</v>
      </c>
      <c r="W113" s="98"/>
      <c r="X113" s="98"/>
      <c r="Y113" s="98"/>
      <c r="Z113" s="98"/>
      <c r="AA113" s="98"/>
      <c r="AB113" s="98"/>
      <c r="AC113" s="98"/>
      <c r="AD113" s="98"/>
      <c r="AE113" s="98"/>
      <c r="AF113" s="98"/>
      <c r="AH113" s="747" t="s">
        <v>492</v>
      </c>
      <c r="AI113" s="748" t="s">
        <v>241</v>
      </c>
      <c r="AJ113" s="748"/>
      <c r="AK113" s="749" t="s">
        <v>242</v>
      </c>
      <c r="AL113" s="749"/>
      <c r="AM113" s="749"/>
      <c r="AN113" s="749"/>
      <c r="AO113" s="746" t="s">
        <v>243</v>
      </c>
      <c r="AP113" s="746"/>
      <c r="AQ113" s="746"/>
      <c r="AR113" s="746"/>
      <c r="AU113" s="39" t="s">
        <v>349</v>
      </c>
      <c r="AV113" s="17" t="s">
        <v>21</v>
      </c>
      <c r="AW113" s="17">
        <v>240</v>
      </c>
      <c r="AX113" s="17" t="s">
        <v>22</v>
      </c>
      <c r="AY113" s="17" t="s">
        <v>393</v>
      </c>
      <c r="AZ113" s="181" t="s">
        <v>375</v>
      </c>
      <c r="BB113" s="4"/>
      <c r="BC113" s="4"/>
    </row>
    <row r="114" spans="1:55" ht="24.95" customHeight="1">
      <c r="A114" s="712"/>
      <c r="B114" s="95">
        <v>8</v>
      </c>
      <c r="C114" s="96" t="s">
        <v>7308</v>
      </c>
      <c r="D114" s="96"/>
      <c r="E114" s="96"/>
      <c r="F114" s="96"/>
      <c r="G114" s="96"/>
      <c r="H114" s="96"/>
      <c r="I114" s="96"/>
      <c r="J114" s="96"/>
      <c r="K114" s="96"/>
      <c r="L114" s="96"/>
      <c r="M114" s="74"/>
      <c r="N114" s="3"/>
      <c r="O114" s="39" t="s">
        <v>216</v>
      </c>
      <c r="P114" s="3"/>
      <c r="Q114" s="356" t="s">
        <v>602</v>
      </c>
      <c r="R114" s="3"/>
      <c r="S114" s="3"/>
      <c r="T114" s="3"/>
      <c r="U114" s="3"/>
      <c r="V114" s="98" t="str">
        <f t="shared" si="65"/>
        <v>Filtrer dans la coupette refroidie.</v>
      </c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H114" s="747"/>
      <c r="AI114" s="748"/>
      <c r="AJ114" s="748"/>
      <c r="AK114" s="749"/>
      <c r="AL114" s="749"/>
      <c r="AM114" s="749"/>
      <c r="AN114" s="749"/>
      <c r="AO114" s="746"/>
      <c r="AP114" s="746"/>
      <c r="AQ114" s="746"/>
      <c r="AR114" s="746"/>
      <c r="AU114" s="39" t="s">
        <v>363</v>
      </c>
      <c r="AV114" s="17" t="s">
        <v>21</v>
      </c>
      <c r="AW114" s="17">
        <v>25</v>
      </c>
      <c r="AX114" s="17" t="s">
        <v>22</v>
      </c>
      <c r="AY114" s="17" t="s">
        <v>394</v>
      </c>
      <c r="AZ114" s="181" t="s">
        <v>375</v>
      </c>
      <c r="BB114" s="4"/>
      <c r="BC114" s="4"/>
    </row>
    <row r="115" spans="1:55" ht="24.95" customHeight="1">
      <c r="A115" s="712"/>
      <c r="B115" s="101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90"/>
      <c r="N115" s="3"/>
      <c r="O115" s="39" t="s">
        <v>83</v>
      </c>
      <c r="P115" s="3"/>
      <c r="Q115" s="183"/>
      <c r="R115" s="3"/>
      <c r="S115" s="3"/>
      <c r="T115" s="3"/>
      <c r="U115" s="3"/>
      <c r="V115" s="98" t="str">
        <f t="shared" si="65"/>
        <v>Contrôler l’équilibre, la propreté du verre et servir.</v>
      </c>
      <c r="W115" s="98"/>
      <c r="X115" s="98"/>
      <c r="Y115" s="98"/>
      <c r="Z115" s="98"/>
      <c r="AA115" s="98"/>
      <c r="AB115" s="98"/>
      <c r="AC115" s="98"/>
      <c r="AD115" s="98"/>
      <c r="AE115" s="98"/>
      <c r="AF115" s="98"/>
      <c r="AH115" s="750" t="s">
        <v>6993</v>
      </c>
      <c r="AI115" s="748" t="s">
        <v>252</v>
      </c>
      <c r="AJ115" s="748"/>
      <c r="AK115" s="749" t="s">
        <v>253</v>
      </c>
      <c r="AL115" s="749"/>
      <c r="AM115" s="749"/>
      <c r="AN115" s="749"/>
      <c r="AO115" s="746" t="s">
        <v>254</v>
      </c>
      <c r="AP115" s="746"/>
      <c r="AQ115" s="746"/>
      <c r="AR115" s="746"/>
      <c r="AU115" s="39" t="s">
        <v>366</v>
      </c>
      <c r="AV115" s="17" t="s">
        <v>21</v>
      </c>
      <c r="AW115" s="17">
        <v>350</v>
      </c>
      <c r="AX115" s="17" t="s">
        <v>22</v>
      </c>
      <c r="AY115" s="17" t="s">
        <v>395</v>
      </c>
      <c r="AZ115" s="181" t="s">
        <v>375</v>
      </c>
      <c r="BB115" s="4"/>
      <c r="BC115" s="4"/>
    </row>
    <row r="116" spans="1:55" ht="24.95" customHeight="1">
      <c r="A116" s="712"/>
      <c r="B116" s="10" t="s">
        <v>258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92"/>
      <c r="N116" s="3"/>
      <c r="O116" s="39" t="s">
        <v>355</v>
      </c>
      <c r="P116" s="3"/>
      <c r="Q116" s="356" t="s">
        <v>609</v>
      </c>
      <c r="R116" s="3"/>
      <c r="S116" s="3"/>
      <c r="T116" s="3"/>
      <c r="U116" s="3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H116" s="750"/>
      <c r="AI116" s="748"/>
      <c r="AJ116" s="748"/>
      <c r="AK116" s="749"/>
      <c r="AL116" s="749"/>
      <c r="AM116" s="749"/>
      <c r="AN116" s="749"/>
      <c r="AO116" s="746"/>
      <c r="AP116" s="746"/>
      <c r="AQ116" s="746"/>
      <c r="AR116" s="746"/>
      <c r="AU116" s="39" t="s">
        <v>369</v>
      </c>
      <c r="AV116" s="17" t="s">
        <v>21</v>
      </c>
      <c r="AW116" s="17">
        <v>240</v>
      </c>
      <c r="AX116" s="17" t="s">
        <v>22</v>
      </c>
      <c r="AY116" s="17" t="s">
        <v>396</v>
      </c>
      <c r="AZ116" s="181" t="s">
        <v>375</v>
      </c>
      <c r="BB116" s="4"/>
      <c r="BC116" s="4"/>
    </row>
    <row r="117" spans="1:55" ht="24.95" customHeight="1">
      <c r="A117" s="712"/>
      <c r="B117" s="102" t="s">
        <v>259</v>
      </c>
      <c r="C117" s="73" t="s">
        <v>36</v>
      </c>
      <c r="D117" s="73"/>
      <c r="E117" s="73"/>
      <c r="F117" s="73"/>
      <c r="G117" s="73"/>
      <c r="H117" s="73"/>
      <c r="I117" s="73"/>
      <c r="J117" s="73"/>
      <c r="K117" s="73"/>
      <c r="L117" s="73"/>
      <c r="M117" s="74"/>
      <c r="N117" s="3"/>
      <c r="O117" s="39" t="s">
        <v>227</v>
      </c>
      <c r="P117" s="3"/>
      <c r="R117" s="3"/>
      <c r="S117" s="3"/>
      <c r="T117" s="3"/>
      <c r="U117" s="3"/>
      <c r="V117" s="103" t="s">
        <v>260</v>
      </c>
      <c r="W117" s="103" t="s">
        <v>209</v>
      </c>
      <c r="X117" s="103"/>
      <c r="Y117" s="103"/>
      <c r="Z117" s="103"/>
      <c r="AA117" s="103"/>
      <c r="AB117" s="103"/>
      <c r="AC117" s="103"/>
      <c r="AD117" s="103"/>
      <c r="AE117" s="103"/>
      <c r="AF117" s="103"/>
      <c r="AH117" s="171" t="s">
        <v>261</v>
      </c>
      <c r="AI117" s="172"/>
      <c r="AJ117" s="165"/>
      <c r="AK117" s="165"/>
      <c r="AL117" s="165"/>
      <c r="AM117" s="165"/>
      <c r="AN117" s="165"/>
      <c r="AO117" s="165"/>
      <c r="AP117" s="165"/>
      <c r="AQ117" s="165"/>
      <c r="AR117" s="165"/>
      <c r="AU117" s="39" t="s">
        <v>378</v>
      </c>
      <c r="AV117" s="17" t="s">
        <v>21</v>
      </c>
      <c r="AW117" s="17">
        <v>250</v>
      </c>
      <c r="AX117" s="17" t="s">
        <v>22</v>
      </c>
      <c r="AY117" s="17" t="s">
        <v>378</v>
      </c>
      <c r="AZ117" s="181" t="s">
        <v>375</v>
      </c>
      <c r="BB117" s="4"/>
      <c r="BC117" s="4"/>
    </row>
    <row r="118" spans="1:55" ht="24.95" customHeight="1">
      <c r="A118" s="712"/>
      <c r="B118" s="102" t="s">
        <v>262</v>
      </c>
      <c r="C118" s="73" t="s">
        <v>7309</v>
      </c>
      <c r="D118" s="73"/>
      <c r="E118" s="73"/>
      <c r="F118" s="73"/>
      <c r="G118" s="73"/>
      <c r="H118" s="73"/>
      <c r="I118" s="73"/>
      <c r="J118" s="73"/>
      <c r="K118" s="73"/>
      <c r="L118" s="73"/>
      <c r="M118" s="74"/>
      <c r="N118" s="3"/>
      <c r="O118" s="39" t="s">
        <v>270</v>
      </c>
      <c r="P118" s="3"/>
      <c r="Q118" s="3"/>
      <c r="R118" s="3"/>
      <c r="S118" s="3"/>
      <c r="T118" s="3"/>
      <c r="U118" s="3"/>
      <c r="V118" s="98" t="str">
        <f>IF(C117="","",C117)</f>
        <v>Coupette</v>
      </c>
      <c r="W118" s="98"/>
      <c r="X118" s="98"/>
      <c r="Y118" s="98"/>
      <c r="Z118" s="98"/>
      <c r="AA118" s="98"/>
      <c r="AB118" s="98"/>
      <c r="AC118" s="98"/>
      <c r="AD118" s="98"/>
      <c r="AE118" s="98"/>
      <c r="AF118" s="98"/>
      <c r="AH118" s="172" t="s">
        <v>264</v>
      </c>
      <c r="AI118" s="172"/>
      <c r="AJ118" s="165"/>
      <c r="AK118" s="172"/>
      <c r="AL118" s="165"/>
      <c r="AM118" s="165"/>
      <c r="AN118" s="165"/>
      <c r="AO118" s="172"/>
      <c r="AP118" s="165"/>
      <c r="AQ118" s="165"/>
      <c r="AR118" s="165"/>
      <c r="AU118" s="39" t="s">
        <v>380</v>
      </c>
      <c r="AV118" s="17" t="s">
        <v>21</v>
      </c>
      <c r="AW118" s="17">
        <v>150</v>
      </c>
      <c r="AX118" s="17" t="s">
        <v>22</v>
      </c>
      <c r="AY118" s="17" t="s">
        <v>380</v>
      </c>
      <c r="AZ118" s="181" t="s">
        <v>375</v>
      </c>
      <c r="BB118" s="4"/>
      <c r="BC118" s="4"/>
    </row>
    <row r="119" spans="1:55" ht="24.95" customHeight="1">
      <c r="A119" s="712"/>
      <c r="B119" s="104" t="s">
        <v>267</v>
      </c>
      <c r="C119" s="105" t="s">
        <v>7277</v>
      </c>
      <c r="D119" s="73"/>
      <c r="E119" s="73"/>
      <c r="F119" s="73"/>
      <c r="G119" s="73"/>
      <c r="H119" s="73"/>
      <c r="I119" s="73"/>
      <c r="J119" s="73"/>
      <c r="K119" s="73"/>
      <c r="L119" s="73"/>
      <c r="M119" s="74"/>
      <c r="N119" s="3"/>
      <c r="O119" s="39" t="s">
        <v>238</v>
      </c>
      <c r="P119" s="3"/>
      <c r="Q119" s="3"/>
      <c r="R119" s="3"/>
      <c r="S119" s="3"/>
      <c r="T119" s="3"/>
      <c r="U119" s="3"/>
      <c r="V119" s="98" t="str">
        <f>IF(C118="","",C118)</f>
        <v>Doseur / jigger ; shaker ; passoire ; soucoupe pour le sel</v>
      </c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  <c r="AH119" s="172" t="s">
        <v>269</v>
      </c>
      <c r="AI119" s="172"/>
      <c r="AJ119" s="173"/>
      <c r="AK119" s="173"/>
      <c r="AL119" s="165"/>
      <c r="AM119" s="165"/>
      <c r="AN119" s="165"/>
      <c r="AO119" s="165"/>
      <c r="AP119" s="165"/>
      <c r="AQ119" s="165"/>
      <c r="AR119" s="165"/>
      <c r="AU119" s="39" t="s">
        <v>382</v>
      </c>
      <c r="AV119" s="17" t="s">
        <v>21</v>
      </c>
      <c r="AW119" s="17">
        <v>150</v>
      </c>
      <c r="AX119" s="17" t="s">
        <v>22</v>
      </c>
      <c r="AY119" s="17" t="s">
        <v>397</v>
      </c>
      <c r="AZ119" s="181" t="s">
        <v>375</v>
      </c>
      <c r="BB119" s="4"/>
      <c r="BC119" s="4"/>
    </row>
    <row r="120" spans="1:55" ht="24.95" customHeight="1">
      <c r="A120" s="712"/>
      <c r="N120" s="3"/>
      <c r="O120" s="39" t="s">
        <v>372</v>
      </c>
      <c r="P120" s="3"/>
      <c r="Q120" s="3"/>
      <c r="R120" s="3"/>
      <c r="S120" s="3"/>
      <c r="T120" s="3"/>
      <c r="U120" s="3"/>
      <c r="V120" s="98" t="str">
        <f>IF(C119="","",C119)</f>
        <v>https://iba-world.com/</v>
      </c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  <c r="AH120" s="168" t="s">
        <v>274</v>
      </c>
      <c r="AI120" s="165"/>
      <c r="AJ120" s="173"/>
      <c r="AK120" s="173"/>
      <c r="AL120" s="165"/>
      <c r="AM120" s="165"/>
      <c r="AN120" s="165"/>
      <c r="AO120" s="165"/>
      <c r="AP120" s="165"/>
      <c r="AQ120" s="165"/>
      <c r="AR120" s="165"/>
      <c r="AU120" s="39" t="s">
        <v>388</v>
      </c>
      <c r="AV120" s="17" t="s">
        <v>21</v>
      </c>
      <c r="AW120" s="17">
        <v>400</v>
      </c>
      <c r="AX120" s="17" t="s">
        <v>22</v>
      </c>
      <c r="AY120" s="17" t="s">
        <v>398</v>
      </c>
      <c r="AZ120" s="181" t="s">
        <v>375</v>
      </c>
      <c r="BB120" s="4"/>
      <c r="BC120" s="4"/>
    </row>
    <row r="121" spans="1:55" ht="24.95" customHeight="1">
      <c r="A121" s="713"/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7" t="s">
        <v>272</v>
      </c>
      <c r="N121" s="3"/>
      <c r="O121" s="39" t="s">
        <v>93</v>
      </c>
      <c r="P121" s="3"/>
      <c r="Q121" s="3"/>
      <c r="R121" s="3"/>
      <c r="S121" s="3"/>
      <c r="T121" s="3"/>
      <c r="U121" s="3"/>
      <c r="V121" s="108" t="s">
        <v>277</v>
      </c>
      <c r="W121" s="108"/>
      <c r="X121" s="108"/>
      <c r="Y121" s="108"/>
      <c r="Z121" s="108"/>
      <c r="AA121" s="108"/>
      <c r="AB121" s="108"/>
      <c r="AC121" s="108"/>
      <c r="AD121" s="108"/>
      <c r="AE121" s="108"/>
      <c r="AF121" s="109" t="s">
        <v>277</v>
      </c>
      <c r="AH121" s="168" t="s">
        <v>278</v>
      </c>
      <c r="AI121" s="172"/>
      <c r="AJ121" s="173"/>
      <c r="AK121" s="173"/>
      <c r="AL121" s="165"/>
      <c r="AM121" s="165"/>
      <c r="AN121" s="165"/>
      <c r="AO121" s="165"/>
      <c r="AP121" s="165"/>
      <c r="AQ121" s="165"/>
      <c r="AR121" s="165"/>
      <c r="AU121" s="39" t="s">
        <v>390</v>
      </c>
      <c r="AV121" s="17" t="s">
        <v>21</v>
      </c>
      <c r="AW121" s="17">
        <v>250</v>
      </c>
      <c r="AX121" s="17" t="s">
        <v>22</v>
      </c>
      <c r="AY121" s="17" t="s">
        <v>399</v>
      </c>
      <c r="AZ121" s="181" t="s">
        <v>375</v>
      </c>
      <c r="BB121" s="4"/>
      <c r="BC121" s="4"/>
    </row>
    <row r="122" spans="1:55" ht="24.95" customHeight="1">
      <c r="A122" s="715"/>
      <c r="B122" s="716"/>
      <c r="C122" s="716"/>
      <c r="D122" s="716"/>
      <c r="E122" s="716"/>
      <c r="F122" s="716"/>
      <c r="G122" s="716"/>
      <c r="H122" s="716"/>
      <c r="I122" s="716"/>
      <c r="J122" s="716"/>
      <c r="K122" s="716"/>
      <c r="L122" s="716"/>
      <c r="M122" s="716"/>
      <c r="N122" s="717"/>
      <c r="P122" s="717"/>
      <c r="Q122" s="3"/>
      <c r="R122" s="3"/>
      <c r="S122" s="3"/>
      <c r="T122" s="3"/>
      <c r="U122" s="719"/>
      <c r="V122" s="761"/>
      <c r="W122" s="761"/>
      <c r="X122" s="761"/>
      <c r="Y122" s="720"/>
      <c r="Z122" s="721"/>
      <c r="AA122" s="721"/>
      <c r="AB122" s="721"/>
      <c r="AC122" s="721"/>
      <c r="AD122" s="721"/>
      <c r="AE122" s="721"/>
      <c r="AF122" s="721"/>
      <c r="AG122" s="719"/>
      <c r="AH122" s="718"/>
      <c r="AI122" s="718"/>
      <c r="AJ122" s="718"/>
      <c r="AK122" s="718"/>
      <c r="AL122" s="718"/>
      <c r="AM122" s="722"/>
      <c r="AN122" s="722"/>
      <c r="AO122" s="722"/>
      <c r="AP122" s="722"/>
      <c r="AQ122" s="722"/>
      <c r="AR122" s="722"/>
      <c r="AS122" s="722"/>
    </row>
    <row r="123" spans="1:55" ht="24.95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spans="1:55" ht="24.95" customHeight="1">
      <c r="A124" s="149" t="s">
        <v>59</v>
      </c>
      <c r="B124" s="711" t="s">
        <v>60</v>
      </c>
      <c r="C124" s="711"/>
      <c r="D124" s="711"/>
      <c r="E124" s="711"/>
      <c r="F124" s="711"/>
      <c r="G124" s="711"/>
      <c r="H124" s="711"/>
      <c r="I124" s="711"/>
      <c r="J124" s="711"/>
      <c r="K124" s="711"/>
      <c r="L124" s="711"/>
      <c r="M124" s="711"/>
      <c r="N124" s="3"/>
      <c r="O124" s="751" t="s">
        <v>2</v>
      </c>
      <c r="P124" s="3"/>
      <c r="Q124" s="10" t="s">
        <v>61</v>
      </c>
      <c r="R124" s="10"/>
      <c r="S124" s="10"/>
      <c r="T124" s="10"/>
      <c r="V124" s="861" t="s">
        <v>62</v>
      </c>
      <c r="W124" s="861"/>
      <c r="X124" s="861"/>
      <c r="Y124" s="23" t="s">
        <v>63</v>
      </c>
      <c r="Z124" s="24"/>
      <c r="AA124" s="24"/>
      <c r="AB124" s="24"/>
      <c r="AC124" s="24"/>
      <c r="AD124" s="24"/>
      <c r="AE124" s="24"/>
      <c r="AF124" s="24"/>
      <c r="AH124" s="25" t="s">
        <v>64</v>
      </c>
      <c r="AI124" s="25"/>
      <c r="AJ124" s="25" t="s">
        <v>65</v>
      </c>
      <c r="AK124" s="25"/>
      <c r="AL124" s="25"/>
      <c r="AM124" s="26"/>
      <c r="AN124" s="26"/>
      <c r="AO124" s="26"/>
      <c r="AP124" s="26"/>
      <c r="AQ124" s="26"/>
      <c r="AR124" s="26"/>
      <c r="AS124" s="26"/>
    </row>
    <row r="125" spans="1:55" ht="24.95" customHeight="1">
      <c r="A125" s="712"/>
      <c r="B125" s="27" t="s">
        <v>67</v>
      </c>
      <c r="C125" s="28" t="s">
        <v>7310</v>
      </c>
      <c r="D125" s="28"/>
      <c r="E125" s="27" t="s">
        <v>69</v>
      </c>
      <c r="F125" s="29" t="s">
        <v>70</v>
      </c>
      <c r="G125" s="30"/>
      <c r="H125" s="27" t="s">
        <v>71</v>
      </c>
      <c r="I125" s="729" t="s">
        <v>7272</v>
      </c>
      <c r="J125" s="30"/>
      <c r="K125" s="27" t="s">
        <v>73</v>
      </c>
      <c r="L125" s="32" t="s">
        <v>651</v>
      </c>
      <c r="M125" s="33"/>
      <c r="N125" s="3"/>
      <c r="O125" s="751"/>
      <c r="P125" s="3"/>
      <c r="Q125" s="14" t="s">
        <v>27</v>
      </c>
      <c r="R125" s="35">
        <v>16</v>
      </c>
      <c r="S125" s="15" t="s">
        <v>76</v>
      </c>
      <c r="T125" s="15"/>
      <c r="V125" s="831" t="s">
        <v>77</v>
      </c>
      <c r="W125" s="862" t="str">
        <f>C125</f>
        <v>DAIQUIRI</v>
      </c>
      <c r="X125" s="862"/>
      <c r="Y125" s="862"/>
      <c r="Z125" s="36" t="s">
        <v>78</v>
      </c>
      <c r="AA125" s="24" t="str">
        <f>F125</f>
        <v>AVEC ALCOOL</v>
      </c>
      <c r="AB125" s="24"/>
      <c r="AC125" s="831" t="s">
        <v>71</v>
      </c>
      <c r="AD125" s="37" t="str">
        <f>I125</f>
        <v>ALL DAY</v>
      </c>
      <c r="AE125" s="831" t="s">
        <v>73</v>
      </c>
      <c r="AF125" s="24" t="str">
        <f>L125</f>
        <v>STRAIGHT UP</v>
      </c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</row>
    <row r="126" spans="1:55" ht="24.95" customHeight="1">
      <c r="A126" s="712"/>
      <c r="B126" s="27" t="s">
        <v>80</v>
      </c>
      <c r="C126" s="38" t="s">
        <v>7311</v>
      </c>
      <c r="D126" s="30"/>
      <c r="E126" s="27" t="s">
        <v>82</v>
      </c>
      <c r="F126" s="39" t="s">
        <v>36</v>
      </c>
      <c r="G126" s="30"/>
      <c r="H126" s="27" t="s">
        <v>84</v>
      </c>
      <c r="I126" s="40">
        <v>1</v>
      </c>
      <c r="J126" s="41" t="s">
        <v>36</v>
      </c>
      <c r="K126" s="41"/>
      <c r="L126" s="42" t="s">
        <v>76</v>
      </c>
      <c r="M126" s="33"/>
      <c r="N126" s="3"/>
      <c r="O126" s="751" t="s">
        <v>480</v>
      </c>
      <c r="Q126" s="14" t="s">
        <v>31</v>
      </c>
      <c r="R126" s="35"/>
      <c r="S126" s="15" t="s">
        <v>86</v>
      </c>
      <c r="T126" s="15"/>
      <c r="V126" s="44" t="s">
        <v>87</v>
      </c>
      <c r="W126" s="150">
        <f>R130</f>
        <v>24</v>
      </c>
      <c r="X126" s="43" t="s">
        <v>88</v>
      </c>
      <c r="Y126" s="43"/>
      <c r="Z126" s="44" t="s">
        <v>89</v>
      </c>
      <c r="AA126" s="45">
        <f>R132</f>
        <v>1.2650000000000001</v>
      </c>
      <c r="AB126" s="46" t="s">
        <v>90</v>
      </c>
      <c r="AC126" s="44" t="s">
        <v>91</v>
      </c>
      <c r="AD126" s="45">
        <f>R127</f>
        <v>16</v>
      </c>
      <c r="AE126" s="47" t="s">
        <v>92</v>
      </c>
      <c r="AF126" s="43" t="str">
        <f>R134</f>
        <v>NOMBRE DE COCKTAILS</v>
      </c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1:55" ht="24.95" customHeight="1">
      <c r="A127" s="712"/>
      <c r="B127" s="27" t="s">
        <v>94</v>
      </c>
      <c r="C127" s="151" t="s">
        <v>7295</v>
      </c>
      <c r="D127" s="30"/>
      <c r="E127" s="30"/>
      <c r="F127" s="30"/>
      <c r="G127" s="30"/>
      <c r="H127" s="27" t="s">
        <v>96</v>
      </c>
      <c r="I127" s="48">
        <v>10</v>
      </c>
      <c r="J127" s="730" t="s">
        <v>32</v>
      </c>
      <c r="K127" s="30"/>
      <c r="L127" s="30"/>
      <c r="M127" s="33"/>
      <c r="N127" s="3"/>
      <c r="O127" s="751"/>
      <c r="Q127" s="14" t="s">
        <v>98</v>
      </c>
      <c r="R127" s="49">
        <f>IF(AND(ISNUMBER(R126),R126&gt;0),IFERROR(R126*1000/R128,0),IF(AND(ISNUMBER(R125),R125&gt;0,ISNUMBER(I126),I126&gt;0),R125/I126,1))</f>
        <v>16</v>
      </c>
      <c r="S127" s="50" t="s">
        <v>99</v>
      </c>
      <c r="T127" s="50"/>
      <c r="V127" s="44" t="s">
        <v>100</v>
      </c>
      <c r="W127" s="51">
        <f>IF(R128="","",R128/10)</f>
        <v>10</v>
      </c>
      <c r="X127" s="46" t="s">
        <v>32</v>
      </c>
      <c r="Y127" s="43"/>
      <c r="Z127" s="44" t="s">
        <v>101</v>
      </c>
      <c r="AA127" s="45">
        <f>R129</f>
        <v>10</v>
      </c>
      <c r="AB127" s="46" t="s">
        <v>32</v>
      </c>
      <c r="AC127" s="44" t="s">
        <v>102</v>
      </c>
      <c r="AD127" s="45">
        <f>R133</f>
        <v>16</v>
      </c>
      <c r="AE127" s="51"/>
      <c r="AF127" s="4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</row>
    <row r="128" spans="1:55" ht="24.95" customHeight="1">
      <c r="A128" s="712"/>
      <c r="B128" s="27"/>
      <c r="C128" s="52" t="str">
        <f>UPPER(LEFT(C125,1)) &amp; " . " &amp; UPPER(LEFT(C125,1)) &amp; LOWER(MID(C125,2,999)) &amp; " . " &amp; UPPER(LEFT(F125,1)) &amp; LOWER(MID(F125,2,999)) &amp; " . " &amp; UPPER(LEFT(I125,1)) &amp; LOWER(MID(I125,2,999)) &amp; " . " &amp; "Verre " &amp; UPPER(LEFT(F126,1)) &amp; LOWER(MID(F126,2,999)) &amp; IF(LEFT(L125,1)=UPPER(LEFT(L125,1)),".","") &amp; UPPER(LEFT(L125,1)) &amp; LOWER(MID(L125,2,999))&amp;"  couleur"&amp;" "&amp;C126&amp;"  intensité"&amp;" "&amp;C127</f>
        <v>D . Daiquiri . Avec alcool . All day . Verre Coupette.Straight up  couleur blanc translucide  intensité *** acidulé</v>
      </c>
      <c r="D128" s="52"/>
      <c r="E128" s="52"/>
      <c r="F128" s="52"/>
      <c r="G128" s="52"/>
      <c r="H128" s="52"/>
      <c r="I128" s="52"/>
      <c r="J128" s="52"/>
      <c r="K128" s="52"/>
      <c r="L128" s="30"/>
      <c r="M128" s="33"/>
      <c r="N128" s="3"/>
      <c r="O128" s="16" t="s">
        <v>20</v>
      </c>
      <c r="Q128" s="14" t="s">
        <v>105</v>
      </c>
      <c r="R128" s="49">
        <f>SUMIF(AJ135:AJ141,"VOLUME",AL135:AL141)</f>
        <v>100</v>
      </c>
      <c r="S128" s="50" t="s">
        <v>22</v>
      </c>
      <c r="T128" s="50"/>
      <c r="V128" s="44" t="s">
        <v>96</v>
      </c>
      <c r="W128" s="51">
        <f>I127</f>
        <v>10</v>
      </c>
      <c r="X128" s="46" t="str">
        <f>J127</f>
        <v>cl</v>
      </c>
      <c r="Y128" s="43"/>
      <c r="Z128" s="44" t="s">
        <v>82</v>
      </c>
      <c r="AA128" s="54" t="str">
        <f>F126</f>
        <v>Coupette</v>
      </c>
      <c r="AB128" s="43"/>
      <c r="AC128" s="44" t="s">
        <v>106</v>
      </c>
      <c r="AD128" s="45">
        <f>R135</f>
        <v>18</v>
      </c>
      <c r="AE128" s="46" t="s">
        <v>32</v>
      </c>
      <c r="AF128" s="4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</row>
    <row r="129" spans="1:45" ht="24.95" customHeight="1">
      <c r="A129" s="712"/>
      <c r="B129" s="27" t="s">
        <v>110</v>
      </c>
      <c r="C129" s="55" t="s">
        <v>7312</v>
      </c>
      <c r="D129" s="55"/>
      <c r="E129" s="154"/>
      <c r="F129" s="154"/>
      <c r="G129" s="154"/>
      <c r="H129" s="154"/>
      <c r="I129" s="154"/>
      <c r="J129" s="154"/>
      <c r="K129" s="154"/>
      <c r="L129" s="30"/>
      <c r="M129" s="33"/>
      <c r="N129" s="3"/>
      <c r="O129" s="18" t="s">
        <v>28</v>
      </c>
      <c r="Q129" s="14" t="s">
        <v>113</v>
      </c>
      <c r="R129" s="49">
        <f>IF(OR(R128=0,NOT(ISNUMBER(I126)),I126&lt;=0),"",R128/I126/10)</f>
        <v>10</v>
      </c>
      <c r="S129" s="50" t="s">
        <v>32</v>
      </c>
      <c r="T129" s="50"/>
      <c r="V129" s="44" t="s">
        <v>114</v>
      </c>
      <c r="W129" s="51" t="str">
        <f>IF(I127="","",IF(R135="","⚠ À CONTRÔLER",IF(I127&lt;=R135,"✔ OK","❌ DÉPASSE CAPACITÉ")))</f>
        <v>✔ OK</v>
      </c>
      <c r="X129" s="43"/>
      <c r="Y129" s="43"/>
      <c r="Z129" s="44"/>
      <c r="AA129" s="56"/>
      <c r="AB129" s="43"/>
      <c r="AC129" s="43"/>
      <c r="AD129" s="46"/>
      <c r="AE129" s="46"/>
      <c r="AF129" s="4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1:45" ht="24.95" customHeight="1">
      <c r="A130" s="712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3"/>
      <c r="N130" s="3"/>
      <c r="O130" s="18" t="s">
        <v>32</v>
      </c>
      <c r="Q130" s="14" t="s">
        <v>118</v>
      </c>
      <c r="R130" s="155">
        <f>IF(AN142=0,"",SUM(AQ135:AQ141)/AN142*100)</f>
        <v>24</v>
      </c>
      <c r="S130" s="50" t="s">
        <v>88</v>
      </c>
      <c r="T130" s="50"/>
      <c r="V130" s="44" t="s">
        <v>110</v>
      </c>
      <c r="W130" s="46" t="str">
        <f>C129</f>
        <v>Sour classique à base de rhum blanc, citron vert et sucre</v>
      </c>
      <c r="X130" s="43"/>
      <c r="Y130" s="43"/>
      <c r="Z130" s="44"/>
      <c r="AA130" s="56"/>
      <c r="AB130" s="43"/>
      <c r="AC130" s="43"/>
      <c r="AD130" s="46"/>
      <c r="AE130" s="46"/>
      <c r="AF130" s="4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</row>
    <row r="131" spans="1:45" ht="24.95" customHeight="1">
      <c r="A131" s="712"/>
      <c r="B131" s="57" t="s">
        <v>121</v>
      </c>
      <c r="C131" s="58" t="s">
        <v>7276</v>
      </c>
      <c r="D131" s="58"/>
      <c r="E131" s="59"/>
      <c r="F131" s="57" t="s">
        <v>123</v>
      </c>
      <c r="G131" s="58" t="s">
        <v>7277</v>
      </c>
      <c r="H131" s="60"/>
      <c r="I131" s="60"/>
      <c r="J131" s="61"/>
      <c r="K131" s="61"/>
      <c r="L131" s="61"/>
      <c r="M131" s="62"/>
      <c r="N131" s="3"/>
      <c r="O131" s="18" t="s">
        <v>22</v>
      </c>
      <c r="Q131" s="14" t="s">
        <v>126</v>
      </c>
      <c r="R131" s="156">
        <f>SUM(AR135:AR141)</f>
        <v>20.240000000000002</v>
      </c>
      <c r="S131" s="50" t="s">
        <v>90</v>
      </c>
      <c r="T131" s="50"/>
      <c r="V131" s="44" t="s">
        <v>121</v>
      </c>
      <c r="W131" s="46" t="str">
        <f>C131</f>
        <v>Référence classique — adaptation CFA</v>
      </c>
      <c r="X131" s="43"/>
      <c r="Y131" s="43"/>
      <c r="Z131" s="44" t="s">
        <v>94</v>
      </c>
      <c r="AA131" s="54" t="str">
        <f>C127</f>
        <v>*** acidulé</v>
      </c>
      <c r="AB131" s="43"/>
      <c r="AC131" s="759" t="str">
        <f>UPPER(LEFT(C125,1))&amp;" . "&amp;UPPER(LEFT(C125,1))&amp;LOWER(MID(C125,2,999))&amp;" . "&amp;UPPER(LEFT(F125,1))&amp;LOWER(MID(F125,2,999))&amp;" . "&amp;UPPER(LEFT(I125,1))&amp;LOWER(MID(I125,2,999))&amp;" . "&amp;"Verre "&amp;UPPER(LEFT(F126,1))&amp;LOWER(MID(F126,2,999))&amp;IF(LEFT(L125,1)=UPPER(LEFT(L125,1)),".","")&amp;UPPER(LEFT(L125,1))&amp;LOWER(MID(L125,2,999))&amp;"  couleur "&amp;C126&amp;"  intensité "&amp;C127</f>
        <v>D . Daiquiri . Avec alcool . All day . Verre Coupette.Straight up  couleur blanc translucide  intensité *** acidulé</v>
      </c>
      <c r="AD131" s="759"/>
      <c r="AE131" s="759"/>
      <c r="AF131" s="759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</row>
    <row r="132" spans="1:45" ht="24.95" customHeight="1">
      <c r="A132" s="712"/>
      <c r="B132" s="10" t="s">
        <v>131</v>
      </c>
      <c r="C132" s="10" t="s">
        <v>132</v>
      </c>
      <c r="D132" s="10"/>
      <c r="E132" s="10"/>
      <c r="F132" s="10"/>
      <c r="G132" s="10"/>
      <c r="H132" s="10"/>
      <c r="I132" s="10"/>
      <c r="J132" s="11" t="str">
        <f>IF(COUNTIF(C134:C140,"*~**")+COUNTIF(C134:C140,"*~?*")=0,"",IF(COUNTIF(C134:C140,"*~**")&gt;0,COUNTIF(C134:C140,"*~**")&amp;" allergène"&amp;IF(COUNTIF(C134:C140,"*~**")&gt;1,"s","")&amp;" repéré"&amp;IF(COUNTIF(C134:C140,"*~**")&gt;1,"s","")&amp;" par *","")&amp;IF(AND(COUNTIF(C134:C140,"*~**")&gt;0,COUNTIF(C134:C140,"*~?*")&gt;0)," | ","")&amp;IF(COUNTIF(C134:C140,"*~?*")&gt;0,COUNTIF(C134:C140,"*~?*")&amp;" produit"&amp;IF(COUNTIF(C134:C140,"*~?*")&gt;1,"s","")&amp;" à vérifier par ?",""))</f>
        <v/>
      </c>
      <c r="K132" s="10"/>
      <c r="L132" s="10"/>
      <c r="M132" s="63"/>
      <c r="N132" s="3"/>
      <c r="O132" s="20" t="s">
        <v>39</v>
      </c>
      <c r="Q132" s="14" t="s">
        <v>134</v>
      </c>
      <c r="R132" s="156">
        <f>IF(OR(R131="",R133="",R133=0),"",R131/R133)</f>
        <v>1.2650000000000001</v>
      </c>
      <c r="S132" s="50" t="s">
        <v>135</v>
      </c>
      <c r="T132" s="50"/>
      <c r="V132" s="852" t="s">
        <v>136</v>
      </c>
      <c r="W132" s="853">
        <f>R131</f>
        <v>20.240000000000002</v>
      </c>
      <c r="X132" s="854" t="s">
        <v>90</v>
      </c>
      <c r="Y132" s="43"/>
      <c r="Z132" s="44" t="s">
        <v>137</v>
      </c>
      <c r="AA132" s="54" t="str">
        <f>C125</f>
        <v>DAIQUIRI</v>
      </c>
      <c r="AB132" s="43"/>
      <c r="AC132" s="759"/>
      <c r="AD132" s="759"/>
      <c r="AE132" s="759"/>
      <c r="AF132" s="759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</row>
    <row r="133" spans="1:45" ht="24.95" customHeight="1">
      <c r="A133" s="712"/>
      <c r="B133" s="66">
        <v>0</v>
      </c>
      <c r="C133" s="64" t="s">
        <v>141</v>
      </c>
      <c r="D133" s="65" t="s">
        <v>142</v>
      </c>
      <c r="E133" s="64" t="s">
        <v>9</v>
      </c>
      <c r="F133" s="66" t="s">
        <v>143</v>
      </c>
      <c r="G133" s="66" t="s">
        <v>144</v>
      </c>
      <c r="H133" s="66" t="s">
        <v>145</v>
      </c>
      <c r="I133" s="67" t="s">
        <v>146</v>
      </c>
      <c r="J133" s="67" t="s">
        <v>847</v>
      </c>
      <c r="K133" s="67" t="s">
        <v>148</v>
      </c>
      <c r="L133" s="67" t="s">
        <v>149</v>
      </c>
      <c r="M133" s="68" t="s">
        <v>150</v>
      </c>
      <c r="N133" s="3"/>
      <c r="O133" s="20" t="s">
        <v>42</v>
      </c>
      <c r="Q133" s="14" t="s">
        <v>152</v>
      </c>
      <c r="R133" s="49">
        <f>IF(AND(ISNUMBER(R126),R126&gt;0,ISNUMBER(I127),I127&gt;0),R126*1000/(I127*10),IF(AND(ISNUMBER(R125),R125&gt;0),R125,""))</f>
        <v>16</v>
      </c>
      <c r="S133" s="50" t="s">
        <v>76</v>
      </c>
      <c r="T133" s="50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H133" s="25" t="s">
        <v>153</v>
      </c>
      <c r="AI133" s="25"/>
      <c r="AJ133" s="25" t="s">
        <v>490</v>
      </c>
      <c r="AK133" s="25"/>
      <c r="AL133" s="25"/>
      <c r="AM133" s="25"/>
      <c r="AN133" s="26"/>
      <c r="AO133" s="26"/>
      <c r="AP133" s="26"/>
      <c r="AQ133" s="26"/>
      <c r="AR133" s="26"/>
      <c r="AS133" s="26"/>
    </row>
    <row r="134" spans="1:45" ht="24.95" customHeight="1">
      <c r="A134" s="712"/>
      <c r="B134" s="731">
        <v>1</v>
      </c>
      <c r="C134" s="70" t="s">
        <v>805</v>
      </c>
      <c r="D134" s="79">
        <v>6</v>
      </c>
      <c r="E134" s="18" t="s">
        <v>32</v>
      </c>
      <c r="F134" s="72">
        <v>40</v>
      </c>
      <c r="G134" s="732">
        <v>0.95</v>
      </c>
      <c r="H134" s="733" t="s">
        <v>156</v>
      </c>
      <c r="I134" s="161">
        <v>18</v>
      </c>
      <c r="J134" s="73"/>
      <c r="K134" s="73"/>
      <c r="L134" s="73"/>
      <c r="M134" s="74"/>
      <c r="N134" s="3"/>
      <c r="O134" s="20" t="s">
        <v>45</v>
      </c>
      <c r="Q134" s="14" t="s">
        <v>158</v>
      </c>
      <c r="R134" s="75" t="str">
        <f>IF(AND(ISNUMBER(R126),R126&gt;0),"VOLUME TOTAL",IF(AND(ISNUMBER(R125),R125&gt;0),"NOMBRE DE COCKTAILS","RÉFÉRENCE"))</f>
        <v>NOMBRE DE COCKTAILS</v>
      </c>
      <c r="S134" s="50"/>
      <c r="T134" s="50"/>
      <c r="V134" s="831" t="s">
        <v>159</v>
      </c>
      <c r="W134" s="36" t="s">
        <v>160</v>
      </c>
      <c r="X134" s="76" t="s">
        <v>161</v>
      </c>
      <c r="Y134" s="835" t="s">
        <v>162</v>
      </c>
      <c r="Z134" s="838" t="s">
        <v>163</v>
      </c>
      <c r="AA134" s="36" t="s">
        <v>164</v>
      </c>
      <c r="AB134" s="36" t="s">
        <v>9</v>
      </c>
      <c r="AC134" s="841" t="s">
        <v>165</v>
      </c>
      <c r="AD134" s="296" t="s">
        <v>166</v>
      </c>
      <c r="AE134" s="36" t="s">
        <v>146</v>
      </c>
      <c r="AF134" s="833" t="s">
        <v>167</v>
      </c>
      <c r="AH134" s="77" t="s">
        <v>168</v>
      </c>
      <c r="AI134" s="78" t="s">
        <v>159</v>
      </c>
      <c r="AJ134" s="77" t="s">
        <v>10</v>
      </c>
      <c r="AK134" s="77" t="s">
        <v>169</v>
      </c>
      <c r="AL134" s="77" t="s">
        <v>170</v>
      </c>
      <c r="AM134" s="77" t="s">
        <v>91</v>
      </c>
      <c r="AN134" s="78" t="s">
        <v>161</v>
      </c>
      <c r="AO134" s="77" t="s">
        <v>171</v>
      </c>
      <c r="AP134" s="77" t="s">
        <v>172</v>
      </c>
      <c r="AQ134" s="77" t="s">
        <v>165</v>
      </c>
      <c r="AR134" s="77" t="s">
        <v>167</v>
      </c>
      <c r="AS134" s="77" t="s">
        <v>173</v>
      </c>
    </row>
    <row r="135" spans="1:45" ht="24.95" customHeight="1">
      <c r="A135" s="712"/>
      <c r="B135" s="734">
        <v>2</v>
      </c>
      <c r="C135" s="70" t="s">
        <v>7279</v>
      </c>
      <c r="D135" s="79">
        <v>2.5</v>
      </c>
      <c r="E135" s="18" t="s">
        <v>32</v>
      </c>
      <c r="F135" s="72">
        <v>0</v>
      </c>
      <c r="G135" s="732">
        <v>1.03</v>
      </c>
      <c r="H135" s="733" t="s">
        <v>156</v>
      </c>
      <c r="I135" s="161">
        <v>3</v>
      </c>
      <c r="J135" s="73"/>
      <c r="K135" s="73" t="s">
        <v>7280</v>
      </c>
      <c r="L135" s="73"/>
      <c r="M135" s="74"/>
      <c r="N135" s="3"/>
      <c r="O135" s="20" t="s">
        <v>48</v>
      </c>
      <c r="Q135" s="14" t="s">
        <v>35</v>
      </c>
      <c r="R135" s="35">
        <f>IFERROR(VLOOKUP(F126,$BB$5:$BC$40,2,FALSE),"")</f>
        <v>18</v>
      </c>
      <c r="S135" s="50" t="s">
        <v>32</v>
      </c>
      <c r="T135" s="50"/>
      <c r="V135" s="846" t="str">
        <f t="shared" ref="V135:V141" si="66">IF(AI135="","",AI135)</f>
        <v>Rhum blanc</v>
      </c>
      <c r="W135" s="848" t="str">
        <f t="shared" ref="W135:W141" si="67">IF(C134="","",IF(H134="QS","QS",D134&amp;" "&amp;E134))</f>
        <v>6 cl</v>
      </c>
      <c r="X135" s="81">
        <f t="shared" ref="X135:X141" si="68">IF(AN135="","",AN135)</f>
        <v>960</v>
      </c>
      <c r="Y135" s="836" t="str">
        <f t="shared" ref="Y135:Y141" si="69">IF(C134="","",IF(H134="QS","Qt. suffisante",IF(AN135="","",IF(AJ135="VOLUME",IF(AN135&gt;=1000,TEXT(AO135,"0.00")&amp;" "&amp;AP135,IF(AN135&gt;=10,TEXT(AO135,"0.0")&amp;" "&amp;AP135&amp;" ► "&amp;TEXT(AN135/1000,"0.000")&amp;" L",TEXT(AO135,"0.0")&amp;" "&amp;AP135)),IF(AJ135="MASSE",TEXT(AO135,"0.00")&amp;" "&amp;AP135,AO135&amp;" "&amp;AP135)))))</f>
        <v>96.0 cl ► 0.960 L</v>
      </c>
      <c r="Z135" s="839" t="str">
        <f>IF(OR(C134="",AJ135&lt;&gt;"VOLUME",AN142=0),"","≈ "&amp;TEXT(ROUND(AN135/AN142*10*2,0)/2,"0.0")&amp;"/10")</f>
        <v>≈ 6.0/10</v>
      </c>
      <c r="AA135" s="82" t="str">
        <f t="shared" ref="AA135:AA141" si="70">IF(AJ135="AUTRE",AO135,"")</f>
        <v/>
      </c>
      <c r="AB135" s="83" t="str">
        <f t="shared" ref="AB135:AB141" si="71">IF(C134="","",AP135)</f>
        <v>cl</v>
      </c>
      <c r="AC135" s="842">
        <f t="shared" ref="AC135:AC141" si="72">IF(C134="","",AQ135)</f>
        <v>384</v>
      </c>
      <c r="AD135" s="163">
        <f t="shared" ref="AD135:AD141" si="73">IF(C134="","",IF(ISNUMBER(F134),F134,0))</f>
        <v>40</v>
      </c>
      <c r="AE135" s="164">
        <f t="shared" ref="AE135:AE141" si="74">IF(C134="","",IF(ISNUMBER(I134),I134,""))</f>
        <v>18</v>
      </c>
      <c r="AF135" s="855">
        <f t="shared" ref="AF135:AF141" si="75">IF(C134="","",AR135)</f>
        <v>17.28</v>
      </c>
      <c r="AH135" s="84">
        <f t="shared" ref="AH135:AH141" si="76">IF(C134="","",B134)</f>
        <v>1</v>
      </c>
      <c r="AI135" s="85" t="str">
        <f t="shared" ref="AI135:AI141" si="77">IF(C134="","",C134)</f>
        <v>Rhum blanc</v>
      </c>
      <c r="AJ135" s="84" t="str">
        <f t="shared" ref="AJ135:AJ141" si="78">IF(C134="","",IFERROR(VLOOKUP(E134,$AU$5:$AY$121,2,FALSE),"UNITÉ ?"))</f>
        <v>VOLUME</v>
      </c>
      <c r="AK135" s="84">
        <f t="shared" ref="AK135:AK141" si="79">IF(C134="","",IFERROR(VLOOKUP(E134,$AU$5:$AY$121,3,FALSE),""))</f>
        <v>10</v>
      </c>
      <c r="AL135" s="84">
        <f t="shared" ref="AL135:AL141" si="80">IF(OR(C134="",H134="QS",NOT(ISNUMBER(D134))),"",D134*AK135)</f>
        <v>60</v>
      </c>
      <c r="AM135" s="84">
        <f>IF(C134="","",R127)</f>
        <v>16</v>
      </c>
      <c r="AN135" s="84">
        <f t="shared" ref="AN135:AN141" si="81">IF(C134="","",IF(H134="QS","",IF(AL135="","",IF(OR(H134="F",H134="FIXE"),AL135,AL135*AM135))))</f>
        <v>960</v>
      </c>
      <c r="AO135" s="84">
        <f t="shared" ref="AO135:AO141" si="82">IF(C134="","",IF(H134="QS","",IF(AN135="","",IF(AJ135="VOLUME",IF(AN135&gt;=1000,ROUND(AN135/1000,2),IF(AN135&gt;=10,ROUND(AN135/10,1),ROUND(AN135,1))),IF(AJ135="MASSE",IF(AN135&gt;=1000,ROUND(AN135/1000,2),ROUND(AN135,0)),ROUND(AN135,2))))))</f>
        <v>96</v>
      </c>
      <c r="AP135" s="84" t="str">
        <f t="shared" ref="AP135:AP141" si="83">IF(C134="","",IF(H134="QS","",IF(AN135="","",IF(AJ135="VOLUME",IF(AN135&gt;=1000,"L",IF(AN135&gt;=10,"cl","ml")),IF(AJ135="MASSE",IF(AN135&gt;=1000,"Kg","g"),IFERROR(VLOOKUP(E134,$AU$5:$AY$121,5,FALSE),E134))))))</f>
        <v>cl</v>
      </c>
      <c r="AQ135" s="84">
        <f t="shared" ref="AQ135:AQ141" si="84">IF(C134="","",IF(OR(AJ135&lt;&gt;"VOLUME",NOT(ISNUMBER(F134)),AN135=""),0,AN135*F134/100))</f>
        <v>384</v>
      </c>
      <c r="AR135" s="84">
        <f t="shared" ref="AR135:AR141" si="85">IF(C134="","",IF(H134="QS",0,IF(NOT(ISNUMBER(I134)),0,IF(OR(AJ135="VOLUME",AJ135="MASSE"),AN135/1000*I134,AN135*I134))))</f>
        <v>17.28</v>
      </c>
      <c r="AS135" s="84" t="str">
        <f t="shared" ref="AS135:AS141" si="86">IF(C134="","",IF(H134="QS","OK",IF(NOT(ISNUMBER(D134)),"QUANTITÉ ?",IF(E134="","UNITÉ ?",IF(AJ135="UNITÉ ?","UNITÉ ?",IF(AND(H134&lt;&gt;"",H134&lt;&gt;"PROP",H134&lt;&gt;"F",H134&lt;&gt;"FIXE",H134&lt;&gt;"QS"),"RÈGLE ?","OK"))))))</f>
        <v>OK</v>
      </c>
    </row>
    <row r="136" spans="1:45" ht="24.95" customHeight="1">
      <c r="A136" s="712"/>
      <c r="B136" s="731">
        <v>3</v>
      </c>
      <c r="C136" s="70" t="s">
        <v>7281</v>
      </c>
      <c r="D136" s="79">
        <v>1.5</v>
      </c>
      <c r="E136" s="18" t="s">
        <v>32</v>
      </c>
      <c r="F136" s="72">
        <v>0</v>
      </c>
      <c r="G136" s="732">
        <v>1.3</v>
      </c>
      <c r="H136" s="733" t="s">
        <v>156</v>
      </c>
      <c r="I136" s="161">
        <v>4</v>
      </c>
      <c r="J136" s="73"/>
      <c r="K136" s="73"/>
      <c r="L136" s="73"/>
      <c r="M136" s="74"/>
      <c r="N136" s="3"/>
      <c r="O136" s="20" t="s">
        <v>50</v>
      </c>
      <c r="V136" s="846" t="str">
        <f t="shared" si="66"/>
        <v>Jus de citron vert</v>
      </c>
      <c r="W136" s="848" t="str">
        <f t="shared" si="67"/>
        <v>2.5 cl</v>
      </c>
      <c r="X136" s="81">
        <f t="shared" si="68"/>
        <v>400</v>
      </c>
      <c r="Y136" s="836" t="str">
        <f t="shared" si="69"/>
        <v>40.0 cl ► 0.400 L</v>
      </c>
      <c r="Z136" s="839" t="str">
        <f>IF(OR(C135="",AJ136&lt;&gt;"VOLUME",AN142=0),"","≈ "&amp;TEXT(ROUND(AN136/AN142*10*2,0)/2,"0.0")&amp;"/10")</f>
        <v>≈ 2.5/10</v>
      </c>
      <c r="AA136" s="82" t="str">
        <f t="shared" si="70"/>
        <v/>
      </c>
      <c r="AB136" s="83" t="str">
        <f t="shared" si="71"/>
        <v>cl</v>
      </c>
      <c r="AC136" s="842">
        <f t="shared" si="72"/>
        <v>0</v>
      </c>
      <c r="AD136" s="163">
        <f t="shared" si="73"/>
        <v>0</v>
      </c>
      <c r="AE136" s="164">
        <f t="shared" si="74"/>
        <v>3</v>
      </c>
      <c r="AF136" s="855">
        <f t="shared" si="75"/>
        <v>1.2000000000000002</v>
      </c>
      <c r="AH136" s="84">
        <f t="shared" si="76"/>
        <v>2</v>
      </c>
      <c r="AI136" s="85" t="str">
        <f t="shared" si="77"/>
        <v>Jus de citron vert</v>
      </c>
      <c r="AJ136" s="84" t="str">
        <f t="shared" si="78"/>
        <v>VOLUME</v>
      </c>
      <c r="AK136" s="84">
        <f t="shared" si="79"/>
        <v>10</v>
      </c>
      <c r="AL136" s="84">
        <f t="shared" si="80"/>
        <v>25</v>
      </c>
      <c r="AM136" s="84">
        <f>IF(C135="","",R127)</f>
        <v>16</v>
      </c>
      <c r="AN136" s="84">
        <f t="shared" si="81"/>
        <v>400</v>
      </c>
      <c r="AO136" s="84">
        <f t="shared" si="82"/>
        <v>40</v>
      </c>
      <c r="AP136" s="84" t="str">
        <f t="shared" si="83"/>
        <v>cl</v>
      </c>
      <c r="AQ136" s="84">
        <f t="shared" si="84"/>
        <v>0</v>
      </c>
      <c r="AR136" s="84">
        <f t="shared" si="85"/>
        <v>1.2000000000000002</v>
      </c>
      <c r="AS136" s="84" t="str">
        <f t="shared" si="86"/>
        <v>OK</v>
      </c>
    </row>
    <row r="137" spans="1:45" ht="24.95" customHeight="1">
      <c r="A137" s="712"/>
      <c r="B137" s="734">
        <v>4</v>
      </c>
      <c r="C137" s="70" t="s">
        <v>7313</v>
      </c>
      <c r="D137" s="79">
        <v>1</v>
      </c>
      <c r="E137" s="53" t="s">
        <v>236</v>
      </c>
      <c r="F137" s="72"/>
      <c r="G137" s="732">
        <v>1</v>
      </c>
      <c r="H137" s="733" t="s">
        <v>156</v>
      </c>
      <c r="I137" s="161">
        <v>0.05</v>
      </c>
      <c r="J137" s="73"/>
      <c r="K137" s="73" t="s">
        <v>7314</v>
      </c>
      <c r="L137" s="73"/>
      <c r="M137" s="74"/>
      <c r="N137" s="3"/>
      <c r="O137" s="20" t="s">
        <v>52</v>
      </c>
      <c r="Q137" s="744" t="s">
        <v>566</v>
      </c>
      <c r="V137" s="846" t="str">
        <f t="shared" si="66"/>
        <v>Sirop de sucre de canne</v>
      </c>
      <c r="W137" s="848" t="str">
        <f t="shared" si="67"/>
        <v>1.5 cl</v>
      </c>
      <c r="X137" s="81">
        <f t="shared" si="68"/>
        <v>240</v>
      </c>
      <c r="Y137" s="836" t="str">
        <f t="shared" si="69"/>
        <v>24.0 cl ► 0.240 L</v>
      </c>
      <c r="Z137" s="839" t="str">
        <f>IF(OR(C136="",AJ137&lt;&gt;"VOLUME",AN142=0),"","≈ "&amp;TEXT(ROUND(AN137/AN142*10*2,0)/2,"0.0")&amp;"/10")</f>
        <v>≈ 1.5/10</v>
      </c>
      <c r="AA137" s="82" t="str">
        <f t="shared" si="70"/>
        <v/>
      </c>
      <c r="AB137" s="83" t="str">
        <f t="shared" si="71"/>
        <v>cl</v>
      </c>
      <c r="AC137" s="842">
        <f t="shared" si="72"/>
        <v>0</v>
      </c>
      <c r="AD137" s="163">
        <f t="shared" si="73"/>
        <v>0</v>
      </c>
      <c r="AE137" s="164">
        <f t="shared" si="74"/>
        <v>4</v>
      </c>
      <c r="AF137" s="855">
        <f t="shared" si="75"/>
        <v>0.96</v>
      </c>
      <c r="AH137" s="84">
        <f t="shared" si="76"/>
        <v>3</v>
      </c>
      <c r="AI137" s="85" t="str">
        <f t="shared" si="77"/>
        <v>Sirop de sucre de canne</v>
      </c>
      <c r="AJ137" s="84" t="str">
        <f t="shared" si="78"/>
        <v>VOLUME</v>
      </c>
      <c r="AK137" s="84">
        <f t="shared" si="79"/>
        <v>10</v>
      </c>
      <c r="AL137" s="84">
        <f t="shared" si="80"/>
        <v>15</v>
      </c>
      <c r="AM137" s="84">
        <f>IF(C136="","",R127)</f>
        <v>16</v>
      </c>
      <c r="AN137" s="84">
        <f t="shared" si="81"/>
        <v>240</v>
      </c>
      <c r="AO137" s="84">
        <f t="shared" si="82"/>
        <v>24</v>
      </c>
      <c r="AP137" s="84" t="str">
        <f t="shared" si="83"/>
        <v>cl</v>
      </c>
      <c r="AQ137" s="84">
        <f t="shared" si="84"/>
        <v>0</v>
      </c>
      <c r="AR137" s="84">
        <f t="shared" si="85"/>
        <v>0.96</v>
      </c>
      <c r="AS137" s="84" t="str">
        <f t="shared" si="86"/>
        <v>OK</v>
      </c>
    </row>
    <row r="138" spans="1:45" ht="24.95" customHeight="1">
      <c r="A138" s="712"/>
      <c r="B138" s="731">
        <v>5</v>
      </c>
      <c r="C138" s="70" t="s">
        <v>188</v>
      </c>
      <c r="D138" s="79"/>
      <c r="E138" s="53" t="s">
        <v>151</v>
      </c>
      <c r="F138" s="72"/>
      <c r="G138" s="732">
        <v>1</v>
      </c>
      <c r="H138" s="733" t="s">
        <v>151</v>
      </c>
      <c r="I138" s="161">
        <v>0</v>
      </c>
      <c r="J138" s="73"/>
      <c r="K138" s="73" t="s">
        <v>7300</v>
      </c>
      <c r="L138" s="73"/>
      <c r="M138" s="74"/>
      <c r="N138" s="3"/>
      <c r="O138" s="21" t="s">
        <v>54</v>
      </c>
      <c r="Q138" s="744"/>
      <c r="V138" s="846" t="str">
        <f t="shared" si="66"/>
        <v>Zeste de citron vert</v>
      </c>
      <c r="W138" s="848" t="str">
        <f t="shared" si="67"/>
        <v>1 Zeste(s)</v>
      </c>
      <c r="X138" s="81">
        <f t="shared" si="68"/>
        <v>16</v>
      </c>
      <c r="Y138" s="836" t="str">
        <f t="shared" si="69"/>
        <v>16 zeste(s)</v>
      </c>
      <c r="Z138" s="839" t="str">
        <f>IF(OR(C137="",AJ138&lt;&gt;"VOLUME",AN142=0),"","≈ "&amp;TEXT(ROUND(AN138/AN142*10*2,0)/2,"0.0")&amp;"/10")</f>
        <v/>
      </c>
      <c r="AA138" s="82">
        <f t="shared" si="70"/>
        <v>16</v>
      </c>
      <c r="AB138" s="83" t="str">
        <f t="shared" si="71"/>
        <v>zeste(s)</v>
      </c>
      <c r="AC138" s="842">
        <f t="shared" si="72"/>
        <v>0</v>
      </c>
      <c r="AD138" s="163">
        <f t="shared" si="73"/>
        <v>0</v>
      </c>
      <c r="AE138" s="164">
        <f t="shared" si="74"/>
        <v>0.05</v>
      </c>
      <c r="AF138" s="855">
        <f t="shared" si="75"/>
        <v>0.8</v>
      </c>
      <c r="AH138" s="84">
        <f t="shared" si="76"/>
        <v>4</v>
      </c>
      <c r="AI138" s="85" t="str">
        <f t="shared" si="77"/>
        <v>Zeste de citron vert</v>
      </c>
      <c r="AJ138" s="84" t="str">
        <f t="shared" si="78"/>
        <v>AUTRE</v>
      </c>
      <c r="AK138" s="84">
        <f t="shared" si="79"/>
        <v>1</v>
      </c>
      <c r="AL138" s="84">
        <f t="shared" si="80"/>
        <v>1</v>
      </c>
      <c r="AM138" s="84">
        <f>IF(C137="","",R127)</f>
        <v>16</v>
      </c>
      <c r="AN138" s="84">
        <f t="shared" si="81"/>
        <v>16</v>
      </c>
      <c r="AO138" s="84">
        <f t="shared" si="82"/>
        <v>16</v>
      </c>
      <c r="AP138" s="84" t="str">
        <f t="shared" si="83"/>
        <v>zeste(s)</v>
      </c>
      <c r="AQ138" s="84">
        <f t="shared" si="84"/>
        <v>0</v>
      </c>
      <c r="AR138" s="84">
        <f t="shared" si="85"/>
        <v>0.8</v>
      </c>
      <c r="AS138" s="84" t="str">
        <f t="shared" si="86"/>
        <v>OK</v>
      </c>
    </row>
    <row r="139" spans="1:45" ht="24.95" customHeight="1">
      <c r="A139" s="712"/>
      <c r="B139" s="734"/>
      <c r="C139" s="70"/>
      <c r="D139" s="79"/>
      <c r="E139" s="3"/>
      <c r="F139" s="72"/>
      <c r="G139" s="732"/>
      <c r="H139" s="733"/>
      <c r="I139" s="161"/>
      <c r="J139" s="73"/>
      <c r="K139" s="73"/>
      <c r="L139" s="73"/>
      <c r="M139" s="74"/>
      <c r="N139" s="3"/>
      <c r="O139" s="22" t="s">
        <v>56</v>
      </c>
      <c r="V139" s="846" t="str">
        <f t="shared" si="66"/>
        <v>Glace</v>
      </c>
      <c r="W139" s="848" t="str">
        <f t="shared" si="67"/>
        <v>QS</v>
      </c>
      <c r="X139" s="81" t="str">
        <f t="shared" si="68"/>
        <v/>
      </c>
      <c r="Y139" s="836" t="str">
        <f t="shared" si="69"/>
        <v>Qt. suffisante</v>
      </c>
      <c r="Z139" s="839" t="str">
        <f>IF(OR(C138="",AJ139&lt;&gt;"VOLUME",AN142=0),"","≈ "&amp;TEXT(ROUND(AN139/AN142*10*2,0)/2,"0.0")&amp;"/10")</f>
        <v/>
      </c>
      <c r="AA139" s="80" t="str">
        <f t="shared" si="70"/>
        <v/>
      </c>
      <c r="AB139" s="83" t="str">
        <f t="shared" si="71"/>
        <v/>
      </c>
      <c r="AC139" s="842">
        <f t="shared" si="72"/>
        <v>0</v>
      </c>
      <c r="AD139" s="163">
        <f t="shared" si="73"/>
        <v>0</v>
      </c>
      <c r="AE139" s="164">
        <f t="shared" si="74"/>
        <v>0</v>
      </c>
      <c r="AF139" s="855">
        <f t="shared" si="75"/>
        <v>0</v>
      </c>
      <c r="AH139" s="84">
        <f t="shared" si="76"/>
        <v>5</v>
      </c>
      <c r="AI139" s="85" t="str">
        <f t="shared" si="77"/>
        <v>Glace</v>
      </c>
      <c r="AJ139" s="84" t="str">
        <f t="shared" si="78"/>
        <v>AUTRE</v>
      </c>
      <c r="AK139" s="84">
        <f t="shared" si="79"/>
        <v>1</v>
      </c>
      <c r="AL139" s="84" t="str">
        <f t="shared" si="80"/>
        <v/>
      </c>
      <c r="AM139" s="84">
        <f>IF(C138="","",R127)</f>
        <v>16</v>
      </c>
      <c r="AN139" s="84" t="str">
        <f t="shared" si="81"/>
        <v/>
      </c>
      <c r="AO139" s="84" t="str">
        <f t="shared" si="82"/>
        <v/>
      </c>
      <c r="AP139" s="84" t="str">
        <f t="shared" si="83"/>
        <v/>
      </c>
      <c r="AQ139" s="84">
        <f t="shared" si="84"/>
        <v>0</v>
      </c>
      <c r="AR139" s="84">
        <f t="shared" si="85"/>
        <v>0</v>
      </c>
      <c r="AS139" s="84" t="str">
        <f t="shared" si="86"/>
        <v>OK</v>
      </c>
    </row>
    <row r="140" spans="1:45" ht="24.95" customHeight="1">
      <c r="A140" s="712"/>
      <c r="B140" s="731"/>
      <c r="C140" s="70"/>
      <c r="D140" s="79"/>
      <c r="E140" s="3"/>
      <c r="F140" s="72"/>
      <c r="G140" s="732"/>
      <c r="H140" s="733"/>
      <c r="I140" s="161"/>
      <c r="J140" s="73"/>
      <c r="K140" s="73"/>
      <c r="L140" s="73"/>
      <c r="M140" s="74"/>
      <c r="N140" s="3"/>
      <c r="O140" s="34" t="s">
        <v>75</v>
      </c>
      <c r="Q140" s="355" t="s">
        <v>558</v>
      </c>
      <c r="V140" s="847" t="str">
        <f t="shared" si="66"/>
        <v/>
      </c>
      <c r="W140" s="849" t="str">
        <f t="shared" si="67"/>
        <v/>
      </c>
      <c r="X140" s="86" t="str">
        <f t="shared" si="68"/>
        <v/>
      </c>
      <c r="Y140" s="837" t="str">
        <f t="shared" si="69"/>
        <v/>
      </c>
      <c r="Z140" s="840" t="str">
        <f>IF(OR(C139="",AJ140&lt;&gt;"VOLUME",AN142=0),"","≈ "&amp;TEXT(ROUND(AN140/AN142*10*2,0)/2,"0.0")&amp;"/10")</f>
        <v/>
      </c>
      <c r="AA140" s="87" t="str">
        <f t="shared" si="70"/>
        <v/>
      </c>
      <c r="AB140" s="88" t="str">
        <f t="shared" si="71"/>
        <v/>
      </c>
      <c r="AC140" s="843" t="str">
        <f t="shared" si="72"/>
        <v/>
      </c>
      <c r="AD140" s="88" t="str">
        <f t="shared" si="73"/>
        <v/>
      </c>
      <c r="AE140" s="88" t="str">
        <f t="shared" si="74"/>
        <v/>
      </c>
      <c r="AF140" s="834" t="str">
        <f t="shared" si="75"/>
        <v/>
      </c>
      <c r="AH140" s="84" t="str">
        <f t="shared" si="76"/>
        <v/>
      </c>
      <c r="AI140" s="85" t="str">
        <f t="shared" si="77"/>
        <v/>
      </c>
      <c r="AJ140" s="84" t="str">
        <f t="shared" si="78"/>
        <v/>
      </c>
      <c r="AK140" s="84" t="str">
        <f t="shared" si="79"/>
        <v/>
      </c>
      <c r="AL140" s="84" t="str">
        <f t="shared" si="80"/>
        <v/>
      </c>
      <c r="AM140" s="84" t="str">
        <f>IF(C139="","",R127)</f>
        <v/>
      </c>
      <c r="AN140" s="84" t="str">
        <f t="shared" si="81"/>
        <v/>
      </c>
      <c r="AO140" s="84" t="str">
        <f t="shared" si="82"/>
        <v/>
      </c>
      <c r="AP140" s="84" t="str">
        <f t="shared" si="83"/>
        <v/>
      </c>
      <c r="AQ140" s="84" t="str">
        <f t="shared" si="84"/>
        <v/>
      </c>
      <c r="AR140" s="84" t="str">
        <f t="shared" si="85"/>
        <v/>
      </c>
      <c r="AS140" s="84" t="str">
        <f t="shared" si="86"/>
        <v/>
      </c>
    </row>
    <row r="141" spans="1:45" ht="24.95" customHeight="1">
      <c r="A141" s="712"/>
      <c r="B141" s="14" t="s">
        <v>44</v>
      </c>
      <c r="C141" s="146" t="s">
        <v>198</v>
      </c>
      <c r="D141" s="89"/>
      <c r="E141" s="89"/>
      <c r="F141" s="89"/>
      <c r="G141" s="89"/>
      <c r="H141" s="89"/>
      <c r="I141" s="89"/>
      <c r="J141" s="89"/>
      <c r="K141" s="89"/>
      <c r="L141" s="89"/>
      <c r="M141" s="90"/>
      <c r="N141" s="3"/>
      <c r="O141" s="34" t="s">
        <v>85</v>
      </c>
      <c r="Q141"/>
      <c r="V141" s="847" t="str">
        <f t="shared" si="66"/>
        <v/>
      </c>
      <c r="W141" s="849" t="str">
        <f t="shared" si="67"/>
        <v/>
      </c>
      <c r="X141" s="86" t="str">
        <f t="shared" si="68"/>
        <v/>
      </c>
      <c r="Y141" s="837" t="str">
        <f t="shared" si="69"/>
        <v/>
      </c>
      <c r="Z141" s="840" t="str">
        <f>IF(OR(C140="",AJ141&lt;&gt;"VOLUME",AN142=0),"","≈ "&amp;TEXT(ROUND(AN141/AN142*10*2,0)/2,"0.0")&amp;"/10")</f>
        <v/>
      </c>
      <c r="AA141" s="87" t="str">
        <f t="shared" si="70"/>
        <v/>
      </c>
      <c r="AB141" s="88" t="str">
        <f t="shared" si="71"/>
        <v/>
      </c>
      <c r="AC141" s="843" t="str">
        <f t="shared" si="72"/>
        <v/>
      </c>
      <c r="AD141" s="88" t="str">
        <f t="shared" si="73"/>
        <v/>
      </c>
      <c r="AE141" s="88" t="str">
        <f t="shared" si="74"/>
        <v/>
      </c>
      <c r="AF141" s="834" t="str">
        <f t="shared" si="75"/>
        <v/>
      </c>
      <c r="AH141" s="84" t="str">
        <f t="shared" si="76"/>
        <v/>
      </c>
      <c r="AI141" s="85" t="str">
        <f t="shared" si="77"/>
        <v/>
      </c>
      <c r="AJ141" s="84" t="str">
        <f t="shared" si="78"/>
        <v/>
      </c>
      <c r="AK141" s="84" t="str">
        <f t="shared" si="79"/>
        <v/>
      </c>
      <c r="AL141" s="84" t="str">
        <f t="shared" si="80"/>
        <v/>
      </c>
      <c r="AM141" s="84" t="str">
        <f>IF(C140="","",R127)</f>
        <v/>
      </c>
      <c r="AN141" s="84" t="str">
        <f t="shared" si="81"/>
        <v/>
      </c>
      <c r="AO141" s="84" t="str">
        <f t="shared" si="82"/>
        <v/>
      </c>
      <c r="AP141" s="84" t="str">
        <f t="shared" si="83"/>
        <v/>
      </c>
      <c r="AQ141" s="84" t="str">
        <f t="shared" si="84"/>
        <v/>
      </c>
      <c r="AR141" s="84" t="str">
        <f t="shared" si="85"/>
        <v/>
      </c>
      <c r="AS141" s="84" t="str">
        <f t="shared" si="86"/>
        <v/>
      </c>
    </row>
    <row r="142" spans="1:45" ht="24.95" customHeight="1">
      <c r="A142" s="712"/>
      <c r="B142" s="91">
        <v>0</v>
      </c>
      <c r="C142" s="10" t="s">
        <v>491</v>
      </c>
      <c r="D142" s="11"/>
      <c r="E142" s="11"/>
      <c r="F142" s="11"/>
      <c r="G142" s="11"/>
      <c r="H142" s="11"/>
      <c r="I142" s="11"/>
      <c r="J142" s="11"/>
      <c r="K142" s="11"/>
      <c r="L142" s="11"/>
      <c r="M142" s="92"/>
      <c r="N142" s="3"/>
      <c r="O142" s="34" t="s">
        <v>97</v>
      </c>
      <c r="Q142" s="29" t="s">
        <v>70</v>
      </c>
      <c r="V142" s="851" t="s">
        <v>203</v>
      </c>
      <c r="W142" s="93"/>
      <c r="X142" s="845">
        <f>AN142</f>
        <v>1600</v>
      </c>
      <c r="Y142" s="835" t="str">
        <f>IF(AN142=0,"",TEXT(AN142/1000,"0.000")&amp;" L")</f>
        <v>1.600 L</v>
      </c>
      <c r="Z142" s="857"/>
      <c r="AA142" s="93"/>
      <c r="AB142" s="93"/>
      <c r="AC142" s="832">
        <f>AQ142</f>
        <v>384</v>
      </c>
      <c r="AD142" s="844">
        <f>IF(AN142=0,"",AQ142/AN142*100)</f>
        <v>24</v>
      </c>
      <c r="AE142" s="93"/>
      <c r="AF142" s="856">
        <f>AR142</f>
        <v>20.240000000000002</v>
      </c>
      <c r="AH142" s="94" t="s">
        <v>203</v>
      </c>
      <c r="AI142" s="94"/>
      <c r="AJ142" s="94"/>
      <c r="AK142" s="94"/>
      <c r="AL142" s="94"/>
      <c r="AM142" s="94"/>
      <c r="AN142" s="94">
        <f>SUMIF(AJ135:AJ141,"VOLUME",AN135:AN141)</f>
        <v>1600</v>
      </c>
      <c r="AO142" s="94"/>
      <c r="AP142" s="94"/>
      <c r="AQ142" s="94">
        <f>SUM(AQ135:AQ141)</f>
        <v>384</v>
      </c>
      <c r="AR142" s="94">
        <f>SUM(AR135:AR141)</f>
        <v>20.240000000000002</v>
      </c>
      <c r="AS142" s="94" t="str">
        <f>IF(COUNTIF(AS135:AS141,"&lt;&gt;OK")-COUNTBLANK(AS135:AS141)=0,"OK","À CONTRÔLER")</f>
        <v>OK</v>
      </c>
    </row>
    <row r="143" spans="1:45" ht="24.95" customHeight="1">
      <c r="A143" s="712"/>
      <c r="B143" s="95">
        <v>1</v>
      </c>
      <c r="C143" s="96" t="s">
        <v>7301</v>
      </c>
      <c r="D143" s="96"/>
      <c r="E143" s="96"/>
      <c r="F143" s="96"/>
      <c r="G143" s="96"/>
      <c r="H143" s="96"/>
      <c r="I143" s="96"/>
      <c r="J143" s="96"/>
      <c r="K143" s="96"/>
      <c r="L143" s="96"/>
      <c r="M143" s="74"/>
      <c r="N143" s="3"/>
      <c r="O143" s="53" t="s">
        <v>104</v>
      </c>
      <c r="Q143" s="184"/>
      <c r="V143" s="832" t="s">
        <v>208</v>
      </c>
      <c r="W143" s="19" t="s">
        <v>209</v>
      </c>
      <c r="X143" s="36"/>
      <c r="Y143" s="858"/>
      <c r="Z143" s="859"/>
      <c r="AA143" s="97"/>
      <c r="AB143" s="97"/>
      <c r="AC143" s="97"/>
      <c r="AD143" s="97"/>
      <c r="AE143" s="97"/>
      <c r="AF143" s="860"/>
      <c r="AH143" s="3" t="s">
        <v>6994</v>
      </c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24.95" customHeight="1">
      <c r="A144" s="712"/>
      <c r="B144" s="95">
        <v>2</v>
      </c>
      <c r="C144" s="96" t="s">
        <v>7315</v>
      </c>
      <c r="D144" s="96"/>
      <c r="E144" s="96"/>
      <c r="F144" s="96"/>
      <c r="G144" s="96"/>
      <c r="H144" s="96"/>
      <c r="I144" s="96"/>
      <c r="J144" s="96"/>
      <c r="K144" s="96"/>
      <c r="L144" s="96"/>
      <c r="M144" s="74"/>
      <c r="N144" s="3"/>
      <c r="O144" s="53" t="s">
        <v>112</v>
      </c>
      <c r="P144" s="3"/>
      <c r="Q144" s="29" t="s">
        <v>584</v>
      </c>
      <c r="V144" s="98" t="str">
        <f t="shared" ref="V144:V151" si="87">IF(C143="","",C143)</f>
        <v>Refroidir la coupette.</v>
      </c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H144" s="146" t="s">
        <v>214</v>
      </c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3"/>
    </row>
    <row r="145" spans="1:45" ht="24.95" customHeight="1">
      <c r="A145" s="712"/>
      <c r="B145" s="95">
        <v>3</v>
      </c>
      <c r="C145" s="96" t="s">
        <v>7305</v>
      </c>
      <c r="D145" s="96"/>
      <c r="E145" s="96"/>
      <c r="F145" s="96"/>
      <c r="G145" s="96"/>
      <c r="H145" s="96"/>
      <c r="I145" s="96"/>
      <c r="J145" s="96"/>
      <c r="K145" s="96"/>
      <c r="L145" s="96"/>
      <c r="M145" s="74"/>
      <c r="N145" s="3"/>
      <c r="O145" s="53" t="s">
        <v>117</v>
      </c>
      <c r="P145" s="3"/>
      <c r="Q145"/>
      <c r="R145" s="3"/>
      <c r="S145" s="3"/>
      <c r="T145" s="3"/>
      <c r="U145" s="3"/>
      <c r="V145" s="98" t="str">
        <f t="shared" si="87"/>
        <v>Verser le rhum, le jus de citron vert et le sirop dans le shaker.</v>
      </c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H145" s="165" t="s">
        <v>219</v>
      </c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</row>
    <row r="146" spans="1:45" ht="24.95" customHeight="1">
      <c r="A146" s="712"/>
      <c r="B146" s="95">
        <v>4</v>
      </c>
      <c r="C146" s="96" t="s">
        <v>7316</v>
      </c>
      <c r="D146" s="96"/>
      <c r="E146" s="96"/>
      <c r="F146" s="96"/>
      <c r="G146" s="96"/>
      <c r="H146" s="96"/>
      <c r="I146" s="96"/>
      <c r="J146" s="96"/>
      <c r="K146" s="96"/>
      <c r="L146" s="96"/>
      <c r="M146" s="74"/>
      <c r="N146" s="3"/>
      <c r="O146" s="53" t="s">
        <v>125</v>
      </c>
      <c r="P146" s="3"/>
      <c r="Q146" s="356" t="s">
        <v>564</v>
      </c>
      <c r="R146" s="3"/>
      <c r="S146" s="3"/>
      <c r="T146" s="3"/>
      <c r="U146" s="3"/>
      <c r="V146" s="98" t="str">
        <f t="shared" si="87"/>
        <v>Ajouter la glace.</v>
      </c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H146" s="166" t="s">
        <v>222</v>
      </c>
      <c r="AI146" s="167" t="s">
        <v>223</v>
      </c>
      <c r="AJ146" s="165"/>
      <c r="AK146" s="167" t="s">
        <v>224</v>
      </c>
      <c r="AL146" s="165"/>
      <c r="AM146" s="165"/>
      <c r="AN146" s="165"/>
      <c r="AO146" s="167" t="s">
        <v>225</v>
      </c>
      <c r="AP146" s="165"/>
      <c r="AQ146" s="165"/>
      <c r="AR146" s="165"/>
    </row>
    <row r="147" spans="1:45" ht="24.95" customHeight="1">
      <c r="A147" s="712"/>
      <c r="B147" s="95">
        <v>5</v>
      </c>
      <c r="C147" s="96" t="s">
        <v>7317</v>
      </c>
      <c r="D147" s="96"/>
      <c r="E147" s="96"/>
      <c r="F147" s="96"/>
      <c r="G147" s="96"/>
      <c r="H147" s="96"/>
      <c r="I147" s="96"/>
      <c r="J147" s="96"/>
      <c r="K147" s="96"/>
      <c r="L147" s="96"/>
      <c r="M147" s="74"/>
      <c r="N147" s="3"/>
      <c r="O147" s="53" t="s">
        <v>133</v>
      </c>
      <c r="P147" s="3"/>
      <c r="Q147"/>
      <c r="R147" s="3"/>
      <c r="S147" s="3"/>
      <c r="T147" s="3"/>
      <c r="U147" s="3"/>
      <c r="V147" s="98" t="str">
        <f t="shared" si="87"/>
        <v>Shaker franchement pour refroidir et diluer.</v>
      </c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H147" s="750" t="s">
        <v>156</v>
      </c>
      <c r="AI147" s="748" t="s">
        <v>230</v>
      </c>
      <c r="AJ147" s="748"/>
      <c r="AK147" s="749" t="s">
        <v>231</v>
      </c>
      <c r="AL147" s="749"/>
      <c r="AM147" s="749"/>
      <c r="AN147" s="749"/>
      <c r="AO147" s="746" t="s">
        <v>232</v>
      </c>
      <c r="AP147" s="746"/>
      <c r="AQ147" s="746"/>
      <c r="AR147" s="746"/>
    </row>
    <row r="148" spans="1:45" ht="24.95" customHeight="1">
      <c r="A148" s="712"/>
      <c r="B148" s="95">
        <v>6</v>
      </c>
      <c r="C148" s="96" t="s">
        <v>7318</v>
      </c>
      <c r="D148" s="96"/>
      <c r="E148" s="96"/>
      <c r="F148" s="96"/>
      <c r="G148" s="96"/>
      <c r="H148" s="96"/>
      <c r="I148" s="96"/>
      <c r="J148" s="96"/>
      <c r="K148" s="96"/>
      <c r="L148" s="96"/>
      <c r="M148" s="74"/>
      <c r="N148" s="3"/>
      <c r="O148" s="53" t="s">
        <v>151</v>
      </c>
      <c r="P148" s="3"/>
      <c r="Q148" s="356" t="s">
        <v>72</v>
      </c>
      <c r="R148" s="3"/>
      <c r="S148" s="3"/>
      <c r="T148" s="3"/>
      <c r="U148" s="3"/>
      <c r="V148" s="98" t="str">
        <f t="shared" si="87"/>
        <v>Goûter visuellement l’équilibre de la préparation.</v>
      </c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H148" s="750"/>
      <c r="AI148" s="748"/>
      <c r="AJ148" s="748"/>
      <c r="AK148" s="749"/>
      <c r="AL148" s="749"/>
      <c r="AM148" s="749"/>
      <c r="AN148" s="749"/>
      <c r="AO148" s="746"/>
      <c r="AP148" s="746"/>
      <c r="AQ148" s="746"/>
      <c r="AR148" s="746"/>
    </row>
    <row r="149" spans="1:45" ht="24.95" customHeight="1">
      <c r="A149" s="712"/>
      <c r="B149" s="95">
        <v>7</v>
      </c>
      <c r="C149" s="96" t="s">
        <v>7319</v>
      </c>
      <c r="D149" s="96"/>
      <c r="E149" s="96"/>
      <c r="F149" s="96"/>
      <c r="G149" s="96"/>
      <c r="H149" s="96"/>
      <c r="I149" s="96"/>
      <c r="J149" s="96"/>
      <c r="K149" s="96"/>
      <c r="L149" s="96"/>
      <c r="M149" s="74"/>
      <c r="N149" s="3"/>
      <c r="O149" s="53" t="s">
        <v>157</v>
      </c>
      <c r="P149" s="3"/>
      <c r="Q149"/>
      <c r="R149" s="3"/>
      <c r="S149" s="3"/>
      <c r="T149" s="3"/>
      <c r="U149" s="3"/>
      <c r="V149" s="98" t="str">
        <f t="shared" si="87"/>
        <v>Filtrer finement dans la coupette.</v>
      </c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H149" s="747" t="s">
        <v>492</v>
      </c>
      <c r="AI149" s="748" t="s">
        <v>241</v>
      </c>
      <c r="AJ149" s="748"/>
      <c r="AK149" s="749" t="s">
        <v>242</v>
      </c>
      <c r="AL149" s="749"/>
      <c r="AM149" s="749"/>
      <c r="AN149" s="749"/>
      <c r="AO149" s="746" t="s">
        <v>243</v>
      </c>
      <c r="AP149" s="746"/>
      <c r="AQ149" s="746"/>
      <c r="AR149" s="746"/>
    </row>
    <row r="150" spans="1:45" ht="24.95" customHeight="1">
      <c r="A150" s="712"/>
      <c r="B150" s="95">
        <v>8</v>
      </c>
      <c r="C150" s="96" t="s">
        <v>7320</v>
      </c>
      <c r="D150" s="96"/>
      <c r="E150" s="96"/>
      <c r="F150" s="96"/>
      <c r="G150" s="96"/>
      <c r="H150" s="96"/>
      <c r="I150" s="96"/>
      <c r="J150" s="96"/>
      <c r="K150" s="96"/>
      <c r="L150" s="96"/>
      <c r="M150" s="74"/>
      <c r="N150" s="3"/>
      <c r="O150" s="53" t="s">
        <v>177</v>
      </c>
      <c r="P150" s="3"/>
      <c r="Q150" s="356" t="s">
        <v>602</v>
      </c>
      <c r="R150" s="3"/>
      <c r="S150" s="3"/>
      <c r="T150" s="3"/>
      <c r="U150" s="3"/>
      <c r="V150" s="98" t="str">
        <f t="shared" si="87"/>
        <v>Ajouter le zeste de citron vert.</v>
      </c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H150" s="747"/>
      <c r="AI150" s="748"/>
      <c r="AJ150" s="748"/>
      <c r="AK150" s="749"/>
      <c r="AL150" s="749"/>
      <c r="AM150" s="749"/>
      <c r="AN150" s="749"/>
      <c r="AO150" s="746"/>
      <c r="AP150" s="746"/>
      <c r="AQ150" s="746"/>
      <c r="AR150" s="746"/>
    </row>
    <row r="151" spans="1:45" ht="24.95" customHeight="1">
      <c r="A151" s="712"/>
      <c r="B151" s="101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90"/>
      <c r="N151" s="3"/>
      <c r="O151" s="53" t="s">
        <v>181</v>
      </c>
      <c r="P151" s="3"/>
      <c r="Q151" s="183"/>
      <c r="R151" s="3"/>
      <c r="S151" s="3"/>
      <c r="T151" s="3"/>
      <c r="U151" s="3"/>
      <c r="V151" s="98" t="str">
        <f t="shared" si="87"/>
        <v>Servir immédiatement.</v>
      </c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H151" s="750" t="s">
        <v>6993</v>
      </c>
      <c r="AI151" s="748" t="s">
        <v>252</v>
      </c>
      <c r="AJ151" s="748"/>
      <c r="AK151" s="749" t="s">
        <v>253</v>
      </c>
      <c r="AL151" s="749"/>
      <c r="AM151" s="749"/>
      <c r="AN151" s="749"/>
      <c r="AO151" s="746" t="s">
        <v>254</v>
      </c>
      <c r="AP151" s="746"/>
      <c r="AQ151" s="746"/>
      <c r="AR151" s="746"/>
    </row>
    <row r="152" spans="1:45" ht="24.95" customHeight="1">
      <c r="A152" s="712"/>
      <c r="B152" s="10" t="s">
        <v>258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92"/>
      <c r="N152" s="3"/>
      <c r="O152" s="53" t="s">
        <v>185</v>
      </c>
      <c r="P152" s="3"/>
      <c r="Q152" s="356" t="s">
        <v>609</v>
      </c>
      <c r="R152" s="3"/>
      <c r="S152" s="3"/>
      <c r="T152" s="3"/>
      <c r="U152" s="3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H152" s="750"/>
      <c r="AI152" s="748"/>
      <c r="AJ152" s="748"/>
      <c r="AK152" s="749"/>
      <c r="AL152" s="749"/>
      <c r="AM152" s="749"/>
      <c r="AN152" s="749"/>
      <c r="AO152" s="746"/>
      <c r="AP152" s="746"/>
      <c r="AQ152" s="746"/>
      <c r="AR152" s="746"/>
    </row>
    <row r="153" spans="1:45" ht="24.95" customHeight="1">
      <c r="A153" s="712"/>
      <c r="B153" s="102" t="s">
        <v>259</v>
      </c>
      <c r="C153" s="73" t="s">
        <v>36</v>
      </c>
      <c r="D153" s="73"/>
      <c r="E153" s="73"/>
      <c r="F153" s="73"/>
      <c r="G153" s="73"/>
      <c r="H153" s="73"/>
      <c r="I153" s="73"/>
      <c r="J153" s="73"/>
      <c r="K153" s="73"/>
      <c r="L153" s="73"/>
      <c r="M153" s="74"/>
      <c r="N153" s="3"/>
      <c r="O153" s="53" t="s">
        <v>189</v>
      </c>
      <c r="P153" s="3"/>
      <c r="R153" s="3"/>
      <c r="S153" s="3"/>
      <c r="T153" s="3"/>
      <c r="U153" s="3"/>
      <c r="V153" s="103" t="s">
        <v>260</v>
      </c>
      <c r="W153" s="103" t="s">
        <v>209</v>
      </c>
      <c r="X153" s="103"/>
      <c r="Y153" s="103"/>
      <c r="Z153" s="103"/>
      <c r="AA153" s="103"/>
      <c r="AB153" s="103"/>
      <c r="AC153" s="103"/>
      <c r="AD153" s="103"/>
      <c r="AE153" s="103"/>
      <c r="AF153" s="103"/>
      <c r="AH153" s="171" t="s">
        <v>261</v>
      </c>
      <c r="AI153" s="172"/>
      <c r="AJ153" s="165"/>
      <c r="AK153" s="165"/>
      <c r="AL153" s="165"/>
      <c r="AM153" s="165"/>
      <c r="AN153" s="165"/>
      <c r="AO153" s="165"/>
      <c r="AP153" s="165"/>
      <c r="AQ153" s="165"/>
      <c r="AR153" s="165"/>
    </row>
    <row r="154" spans="1:45" ht="24.95" customHeight="1">
      <c r="A154" s="712"/>
      <c r="B154" s="102" t="s">
        <v>262</v>
      </c>
      <c r="C154" s="73" t="s">
        <v>7321</v>
      </c>
      <c r="D154" s="73"/>
      <c r="E154" s="73"/>
      <c r="F154" s="73"/>
      <c r="G154" s="73"/>
      <c r="H154" s="73"/>
      <c r="I154" s="73"/>
      <c r="J154" s="73"/>
      <c r="K154" s="73"/>
      <c r="L154" s="73"/>
      <c r="M154" s="74"/>
      <c r="N154" s="3"/>
      <c r="O154" s="53" t="s">
        <v>192</v>
      </c>
      <c r="P154" s="3"/>
      <c r="Q154" s="3"/>
      <c r="R154" s="3"/>
      <c r="S154" s="3"/>
      <c r="T154" s="3"/>
      <c r="U154" s="3"/>
      <c r="V154" s="98" t="str">
        <f>IF(C153="","",C153)</f>
        <v>Coupette</v>
      </c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H154" s="172" t="s">
        <v>264</v>
      </c>
      <c r="AI154" s="172"/>
      <c r="AJ154" s="165"/>
      <c r="AK154" s="172"/>
      <c r="AL154" s="165"/>
      <c r="AM154" s="165"/>
      <c r="AN154" s="165"/>
      <c r="AO154" s="172"/>
      <c r="AP154" s="165"/>
      <c r="AQ154" s="165"/>
      <c r="AR154" s="165"/>
    </row>
    <row r="155" spans="1:45" ht="24.95" customHeight="1">
      <c r="A155" s="712"/>
      <c r="B155" s="104" t="s">
        <v>267</v>
      </c>
      <c r="C155" s="105" t="s">
        <v>7277</v>
      </c>
      <c r="D155" s="73"/>
      <c r="E155" s="73"/>
      <c r="F155" s="73"/>
      <c r="G155" s="73"/>
      <c r="H155" s="73"/>
      <c r="I155" s="73"/>
      <c r="J155" s="73"/>
      <c r="K155" s="73"/>
      <c r="L155" s="73"/>
      <c r="M155" s="74"/>
      <c r="N155" s="3"/>
      <c r="O155" s="53" t="s">
        <v>195</v>
      </c>
      <c r="P155" s="3"/>
      <c r="Q155" s="3"/>
      <c r="R155" s="3"/>
      <c r="S155" s="3"/>
      <c r="T155" s="3"/>
      <c r="U155" s="3"/>
      <c r="V155" s="98" t="str">
        <f>IF(C154="","",C154)</f>
        <v>Doseur / jigger ; shaker ; passoire ; passoire fine</v>
      </c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H155" s="172" t="s">
        <v>269</v>
      </c>
      <c r="AI155" s="172"/>
      <c r="AJ155" s="173"/>
      <c r="AK155" s="173"/>
      <c r="AL155" s="165"/>
      <c r="AM155" s="165"/>
      <c r="AN155" s="165"/>
      <c r="AO155" s="165"/>
      <c r="AP155" s="165"/>
      <c r="AQ155" s="165"/>
      <c r="AR155" s="165"/>
    </row>
    <row r="156" spans="1:45" ht="24.95" customHeight="1">
      <c r="A156" s="712"/>
      <c r="N156" s="3"/>
      <c r="O156" s="53" t="s">
        <v>199</v>
      </c>
      <c r="P156" s="3"/>
      <c r="Q156" s="3"/>
      <c r="R156" s="3"/>
      <c r="S156" s="3"/>
      <c r="T156" s="3"/>
      <c r="U156" s="3"/>
      <c r="V156" s="98" t="str">
        <f>IF(C155="","",C155)</f>
        <v>https://iba-world.com/</v>
      </c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H156" s="168" t="s">
        <v>274</v>
      </c>
      <c r="AI156" s="165"/>
      <c r="AJ156" s="173"/>
      <c r="AK156" s="173"/>
      <c r="AL156" s="165"/>
      <c r="AM156" s="165"/>
      <c r="AN156" s="165"/>
      <c r="AO156" s="165"/>
      <c r="AP156" s="165"/>
      <c r="AQ156" s="165"/>
      <c r="AR156" s="165"/>
    </row>
    <row r="157" spans="1:45" ht="24.95" customHeight="1">
      <c r="A157" s="713"/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7" t="s">
        <v>272</v>
      </c>
      <c r="N157" s="3"/>
      <c r="O157" s="53" t="s">
        <v>202</v>
      </c>
      <c r="P157" s="3"/>
      <c r="Q157" s="3"/>
      <c r="R157" s="3"/>
      <c r="S157" s="3"/>
      <c r="T157" s="3"/>
      <c r="U157" s="3"/>
      <c r="V157" s="108" t="s">
        <v>277</v>
      </c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9" t="s">
        <v>277</v>
      </c>
      <c r="AH157" s="168" t="s">
        <v>278</v>
      </c>
      <c r="AI157" s="172"/>
      <c r="AJ157" s="173"/>
      <c r="AK157" s="173"/>
      <c r="AL157" s="165"/>
      <c r="AM157" s="165"/>
      <c r="AN157" s="165"/>
      <c r="AO157" s="165"/>
      <c r="AP157" s="165"/>
      <c r="AQ157" s="165"/>
      <c r="AR157" s="165"/>
    </row>
    <row r="158" spans="1:45" ht="24.95" customHeight="1">
      <c r="A158" s="715"/>
      <c r="B158" s="716"/>
      <c r="C158" s="716"/>
      <c r="D158" s="716"/>
      <c r="E158" s="716"/>
      <c r="F158" s="716"/>
      <c r="G158" s="716"/>
      <c r="H158" s="716"/>
      <c r="I158" s="716"/>
      <c r="J158" s="716"/>
      <c r="K158" s="716"/>
      <c r="L158" s="716"/>
      <c r="M158" s="716"/>
      <c r="N158" s="717"/>
      <c r="O158" s="53" t="s">
        <v>207</v>
      </c>
      <c r="P158" s="717"/>
      <c r="Q158" s="3"/>
      <c r="R158" s="3"/>
      <c r="S158" s="3"/>
      <c r="T158" s="3"/>
      <c r="U158" s="719"/>
      <c r="V158" s="761"/>
      <c r="W158" s="761"/>
      <c r="X158" s="761"/>
      <c r="Y158" s="720"/>
      <c r="Z158" s="721"/>
      <c r="AA158" s="721"/>
      <c r="AB158" s="721"/>
      <c r="AC158" s="721"/>
      <c r="AD158" s="721"/>
      <c r="AE158" s="721"/>
      <c r="AF158" s="721"/>
      <c r="AG158" s="719"/>
      <c r="AH158" s="718"/>
      <c r="AI158" s="718"/>
      <c r="AJ158" s="718"/>
      <c r="AK158" s="718"/>
      <c r="AL158" s="718"/>
      <c r="AM158" s="722"/>
      <c r="AN158" s="722"/>
      <c r="AO158" s="722"/>
      <c r="AP158" s="722"/>
      <c r="AQ158" s="722"/>
      <c r="AR158" s="722"/>
      <c r="AS158" s="722"/>
    </row>
    <row r="159" spans="1:45" ht="24.95" customHeigh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53" t="s">
        <v>213</v>
      </c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24.95" customHeight="1">
      <c r="A160" s="149" t="s">
        <v>59</v>
      </c>
      <c r="B160" s="711" t="s">
        <v>60</v>
      </c>
      <c r="C160" s="711"/>
      <c r="D160" s="711"/>
      <c r="E160" s="711"/>
      <c r="F160" s="711"/>
      <c r="G160" s="711"/>
      <c r="H160" s="711"/>
      <c r="I160" s="711"/>
      <c r="J160" s="711"/>
      <c r="K160" s="711"/>
      <c r="L160" s="711"/>
      <c r="M160" s="711"/>
      <c r="N160" s="3"/>
      <c r="O160" s="53" t="s">
        <v>218</v>
      </c>
      <c r="P160" s="3"/>
      <c r="Q160" s="10" t="s">
        <v>61</v>
      </c>
      <c r="R160" s="10"/>
      <c r="S160" s="10"/>
      <c r="T160" s="10"/>
      <c r="V160" s="861" t="s">
        <v>62</v>
      </c>
      <c r="W160" s="861"/>
      <c r="X160" s="861"/>
      <c r="Y160" s="23" t="s">
        <v>63</v>
      </c>
      <c r="Z160" s="24"/>
      <c r="AA160" s="24"/>
      <c r="AB160" s="24"/>
      <c r="AC160" s="24"/>
      <c r="AD160" s="24"/>
      <c r="AE160" s="24"/>
      <c r="AF160" s="24"/>
      <c r="AH160" s="25" t="s">
        <v>64</v>
      </c>
      <c r="AI160" s="25"/>
      <c r="AJ160" s="25" t="s">
        <v>65</v>
      </c>
      <c r="AK160" s="25"/>
      <c r="AL160" s="25"/>
      <c r="AM160" s="26"/>
      <c r="AN160" s="26"/>
      <c r="AO160" s="26"/>
      <c r="AP160" s="26"/>
      <c r="AQ160" s="26"/>
      <c r="AR160" s="26"/>
      <c r="AS160" s="26"/>
    </row>
    <row r="161" spans="1:45" ht="24.95" customHeight="1">
      <c r="A161" s="712"/>
      <c r="B161" s="27" t="s">
        <v>67</v>
      </c>
      <c r="C161" s="28" t="s">
        <v>7322</v>
      </c>
      <c r="D161" s="28"/>
      <c r="E161" s="27" t="s">
        <v>69</v>
      </c>
      <c r="F161" s="29" t="s">
        <v>70</v>
      </c>
      <c r="G161" s="30"/>
      <c r="H161" s="27" t="s">
        <v>71</v>
      </c>
      <c r="I161" s="729" t="s">
        <v>72</v>
      </c>
      <c r="J161" s="30"/>
      <c r="K161" s="27" t="s">
        <v>73</v>
      </c>
      <c r="L161" s="32" t="s">
        <v>74</v>
      </c>
      <c r="M161" s="33"/>
      <c r="N161" s="3"/>
      <c r="O161" s="53" t="s">
        <v>184</v>
      </c>
      <c r="P161" s="3"/>
      <c r="Q161" s="14" t="s">
        <v>27</v>
      </c>
      <c r="R161" s="35">
        <v>18</v>
      </c>
      <c r="S161" s="15" t="s">
        <v>76</v>
      </c>
      <c r="T161" s="15"/>
      <c r="V161" s="831" t="s">
        <v>77</v>
      </c>
      <c r="W161" s="862" t="str">
        <f>C161</f>
        <v>NEGRONI</v>
      </c>
      <c r="X161" s="862"/>
      <c r="Y161" s="862"/>
      <c r="Z161" s="36" t="s">
        <v>78</v>
      </c>
      <c r="AA161" s="24" t="str">
        <f>F161</f>
        <v>AVEC ALCOOL</v>
      </c>
      <c r="AB161" s="24"/>
      <c r="AC161" s="831" t="s">
        <v>71</v>
      </c>
      <c r="AD161" s="37" t="str">
        <f>I161</f>
        <v>BEFORE DINNER</v>
      </c>
      <c r="AE161" s="831" t="s">
        <v>73</v>
      </c>
      <c r="AF161" s="24" t="str">
        <f>L161</f>
        <v>ON THE ROCKS</v>
      </c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24.95" customHeight="1">
      <c r="A162" s="712"/>
      <c r="B162" s="27" t="s">
        <v>80</v>
      </c>
      <c r="C162" s="38" t="s">
        <v>7323</v>
      </c>
      <c r="D162" s="30"/>
      <c r="E162" s="27" t="s">
        <v>82</v>
      </c>
      <c r="F162" s="39" t="s">
        <v>83</v>
      </c>
      <c r="G162" s="30"/>
      <c r="H162" s="27" t="s">
        <v>84</v>
      </c>
      <c r="I162" s="40">
        <v>1</v>
      </c>
      <c r="J162" s="41" t="s">
        <v>83</v>
      </c>
      <c r="K162" s="41"/>
      <c r="L162" s="42" t="s">
        <v>76</v>
      </c>
      <c r="M162" s="33"/>
      <c r="N162" s="3"/>
      <c r="O162" s="53" t="s">
        <v>229</v>
      </c>
      <c r="Q162" s="14" t="s">
        <v>31</v>
      </c>
      <c r="R162" s="35"/>
      <c r="S162" s="15" t="s">
        <v>86</v>
      </c>
      <c r="T162" s="15"/>
      <c r="V162" s="44" t="s">
        <v>87</v>
      </c>
      <c r="W162" s="150">
        <f>R166</f>
        <v>26.999999999999996</v>
      </c>
      <c r="X162" s="43" t="s">
        <v>88</v>
      </c>
      <c r="Y162" s="43"/>
      <c r="Z162" s="44" t="s">
        <v>89</v>
      </c>
      <c r="AA162" s="45">
        <f>R168</f>
        <v>1.5499999999999998</v>
      </c>
      <c r="AB162" s="46" t="s">
        <v>90</v>
      </c>
      <c r="AC162" s="44" t="s">
        <v>91</v>
      </c>
      <c r="AD162" s="45">
        <f>R163</f>
        <v>18</v>
      </c>
      <c r="AE162" s="47" t="s">
        <v>92</v>
      </c>
      <c r="AF162" s="43" t="str">
        <f>R170</f>
        <v>NOMBRE DE COCKTAILS</v>
      </c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24.95" customHeight="1">
      <c r="A163" s="712"/>
      <c r="B163" s="27" t="s">
        <v>94</v>
      </c>
      <c r="C163" s="151" t="s">
        <v>7324</v>
      </c>
      <c r="D163" s="30"/>
      <c r="E163" s="30"/>
      <c r="F163" s="30"/>
      <c r="G163" s="30"/>
      <c r="H163" s="27" t="s">
        <v>96</v>
      </c>
      <c r="I163" s="48">
        <v>9</v>
      </c>
      <c r="J163" s="730" t="s">
        <v>32</v>
      </c>
      <c r="K163" s="30"/>
      <c r="L163" s="30"/>
      <c r="M163" s="33"/>
      <c r="N163" s="3"/>
      <c r="O163" s="53" t="s">
        <v>236</v>
      </c>
      <c r="Q163" s="14" t="s">
        <v>98</v>
      </c>
      <c r="R163" s="49">
        <f>IF(AND(ISNUMBER(R162),R162&gt;0),IFERROR(R162*1000/R164,0),IF(AND(ISNUMBER(R161),R161&gt;0,ISNUMBER(I162),I162&gt;0),R161/I162,1))</f>
        <v>18</v>
      </c>
      <c r="S163" s="50" t="s">
        <v>99</v>
      </c>
      <c r="T163" s="50"/>
      <c r="V163" s="44" t="s">
        <v>100</v>
      </c>
      <c r="W163" s="51">
        <f>IF(R164="","",R164/10)</f>
        <v>9</v>
      </c>
      <c r="X163" s="46" t="s">
        <v>32</v>
      </c>
      <c r="Y163" s="43"/>
      <c r="Z163" s="44" t="s">
        <v>101</v>
      </c>
      <c r="AA163" s="45">
        <f>R165</f>
        <v>9</v>
      </c>
      <c r="AB163" s="46" t="s">
        <v>32</v>
      </c>
      <c r="AC163" s="44" t="s">
        <v>102</v>
      </c>
      <c r="AD163" s="45">
        <f>R169</f>
        <v>18</v>
      </c>
      <c r="AE163" s="51"/>
      <c r="AF163" s="4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24.95" customHeight="1">
      <c r="A164" s="712"/>
      <c r="B164" s="27"/>
      <c r="C164" s="52" t="str">
        <f>UPPER(LEFT(C161,1)) &amp; " . " &amp; UPPER(LEFT(C161,1)) &amp; LOWER(MID(C161,2,999)) &amp; " . " &amp; UPPER(LEFT(F161,1)) &amp; LOWER(MID(F161,2,999)) &amp; " . " &amp; UPPER(LEFT(I161,1)) &amp; LOWER(MID(I161,2,999)) &amp; " . " &amp; "Verre " &amp; UPPER(LEFT(F162,1)) &amp; LOWER(MID(F162,2,999)) &amp; IF(LEFT(L161,1)=UPPER(LEFT(L161,1)),".","") &amp; UPPER(LEFT(L161,1)) &amp; LOWER(MID(L161,2,999))&amp;"  couleur"&amp;" "&amp;C162&amp;"  intensité"&amp;" "&amp;C163</f>
        <v>N . Negroni . Avec alcool . Before dinner . Verre Tumbler (old fashioned).On the rocks  couleur rouge rubis  intensité **** amer</v>
      </c>
      <c r="D164" s="52"/>
      <c r="E164" s="52"/>
      <c r="F164" s="52"/>
      <c r="G164" s="52"/>
      <c r="H164" s="52"/>
      <c r="I164" s="52"/>
      <c r="J164" s="52"/>
      <c r="K164" s="52"/>
      <c r="L164" s="30"/>
      <c r="M164" s="33"/>
      <c r="N164" s="3"/>
      <c r="O164" s="99" t="s">
        <v>240</v>
      </c>
      <c r="Q164" s="14" t="s">
        <v>105</v>
      </c>
      <c r="R164" s="49">
        <f>SUMIF(AJ171:AJ177,"VOLUME",AL171:AL177)</f>
        <v>90</v>
      </c>
      <c r="S164" s="50" t="s">
        <v>22</v>
      </c>
      <c r="T164" s="50"/>
      <c r="V164" s="44" t="s">
        <v>96</v>
      </c>
      <c r="W164" s="51">
        <f>I163</f>
        <v>9</v>
      </c>
      <c r="X164" s="46" t="str">
        <f>J163</f>
        <v>cl</v>
      </c>
      <c r="Y164" s="43"/>
      <c r="Z164" s="44" t="s">
        <v>82</v>
      </c>
      <c r="AA164" s="54" t="str">
        <f>F162</f>
        <v>Tumbler (Old Fashioned)</v>
      </c>
      <c r="AB164" s="43"/>
      <c r="AC164" s="44" t="s">
        <v>106</v>
      </c>
      <c r="AD164" s="45">
        <f>R171</f>
        <v>25</v>
      </c>
      <c r="AE164" s="46" t="s">
        <v>32</v>
      </c>
      <c r="AF164" s="4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24.95" customHeight="1">
      <c r="A165" s="712"/>
      <c r="B165" s="27" t="s">
        <v>110</v>
      </c>
      <c r="C165" s="55" t="s">
        <v>7325</v>
      </c>
      <c r="D165" s="55"/>
      <c r="E165" s="154"/>
      <c r="F165" s="154"/>
      <c r="G165" s="154"/>
      <c r="H165" s="154"/>
      <c r="I165" s="154"/>
      <c r="J165" s="154"/>
      <c r="K165" s="154"/>
      <c r="L165" s="30"/>
      <c r="M165" s="33"/>
      <c r="N165" s="3"/>
      <c r="O165" s="100" t="s">
        <v>248</v>
      </c>
      <c r="Q165" s="14" t="s">
        <v>113</v>
      </c>
      <c r="R165" s="49">
        <f>IF(OR(R164=0,NOT(ISNUMBER(I162)),I162&lt;=0),"",R164/I162/10)</f>
        <v>9</v>
      </c>
      <c r="S165" s="50" t="s">
        <v>32</v>
      </c>
      <c r="T165" s="50"/>
      <c r="V165" s="44" t="s">
        <v>114</v>
      </c>
      <c r="W165" s="51" t="str">
        <f>IF(I163="","",IF(R171="","⚠ À CONTRÔLER",IF(I163&lt;=R171,"✔ OK","❌ DÉPASSE CAPACITÉ")))</f>
        <v>✔ OK</v>
      </c>
      <c r="X165" s="43"/>
      <c r="Y165" s="43"/>
      <c r="Z165" s="44"/>
      <c r="AA165" s="56"/>
      <c r="AB165" s="43"/>
      <c r="AC165" s="43"/>
      <c r="AD165" s="46"/>
      <c r="AE165" s="46"/>
      <c r="AF165" s="4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24.95" customHeight="1">
      <c r="A166" s="712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3"/>
      <c r="N166" s="3"/>
      <c r="O166" s="39" t="s">
        <v>251</v>
      </c>
      <c r="Q166" s="14" t="s">
        <v>118</v>
      </c>
      <c r="R166" s="155">
        <f>IF(AN178=0,"",SUM(AQ171:AQ177)/AN178*100)</f>
        <v>26.999999999999996</v>
      </c>
      <c r="S166" s="50" t="s">
        <v>88</v>
      </c>
      <c r="T166" s="50"/>
      <c r="V166" s="44" t="s">
        <v>110</v>
      </c>
      <c r="W166" s="46" t="str">
        <f>C165</f>
        <v>Apéritif classique équilibrant gin, Bitter et vermouth rouge</v>
      </c>
      <c r="X166" s="43"/>
      <c r="Y166" s="43"/>
      <c r="Z166" s="44"/>
      <c r="AA166" s="56"/>
      <c r="AB166" s="43"/>
      <c r="AC166" s="43"/>
      <c r="AD166" s="46"/>
      <c r="AE166" s="46"/>
      <c r="AF166" s="4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24.95" customHeight="1">
      <c r="A167" s="712"/>
      <c r="B167" s="57" t="s">
        <v>121</v>
      </c>
      <c r="C167" s="58" t="s">
        <v>7276</v>
      </c>
      <c r="D167" s="58"/>
      <c r="E167" s="59"/>
      <c r="F167" s="57" t="s">
        <v>123</v>
      </c>
      <c r="G167" s="58" t="s">
        <v>7277</v>
      </c>
      <c r="H167" s="60"/>
      <c r="I167" s="60"/>
      <c r="J167" s="61"/>
      <c r="K167" s="61"/>
      <c r="L167" s="61"/>
      <c r="M167" s="62"/>
      <c r="N167" s="3"/>
      <c r="O167" s="39" t="s">
        <v>255</v>
      </c>
      <c r="Q167" s="14" t="s">
        <v>126</v>
      </c>
      <c r="R167" s="156">
        <f>SUM(AR171:AR177)</f>
        <v>27.9</v>
      </c>
      <c r="S167" s="50" t="s">
        <v>90</v>
      </c>
      <c r="T167" s="50"/>
      <c r="V167" s="44" t="s">
        <v>121</v>
      </c>
      <c r="W167" s="46" t="str">
        <f>C167</f>
        <v>Référence classique — adaptation CFA</v>
      </c>
      <c r="X167" s="43"/>
      <c r="Y167" s="43"/>
      <c r="Z167" s="44" t="s">
        <v>94</v>
      </c>
      <c r="AA167" s="54" t="str">
        <f>C163</f>
        <v>**** amer</v>
      </c>
      <c r="AB167" s="43"/>
      <c r="AC167" s="759" t="str">
        <f>UPPER(LEFT(C161,1))&amp;" . "&amp;UPPER(LEFT(C161,1))&amp;LOWER(MID(C161,2,999))&amp;" . "&amp;UPPER(LEFT(F161,1))&amp;LOWER(MID(F161,2,999))&amp;" . "&amp;UPPER(LEFT(I161,1))&amp;LOWER(MID(I161,2,999))&amp;" . "&amp;"Verre "&amp;UPPER(LEFT(F162,1))&amp;LOWER(MID(F162,2,999))&amp;IF(LEFT(L161,1)=UPPER(LEFT(L161,1)),".","")&amp;UPPER(LEFT(L161,1))&amp;LOWER(MID(L161,2,999))&amp;"  couleur "&amp;C162&amp;"  intensité "&amp;C163</f>
        <v>N . Negroni . Avec alcool . Before dinner . Verre Tumbler (old fashioned).On the rocks  couleur rouge rubis  intensité **** amer</v>
      </c>
      <c r="AD167" s="759"/>
      <c r="AE167" s="759"/>
      <c r="AF167" s="759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24.95" customHeight="1">
      <c r="A168" s="712"/>
      <c r="B168" s="10" t="s">
        <v>131</v>
      </c>
      <c r="C168" s="10" t="s">
        <v>132</v>
      </c>
      <c r="D168" s="10"/>
      <c r="E168" s="10"/>
      <c r="F168" s="10"/>
      <c r="G168" s="10"/>
      <c r="H168" s="10"/>
      <c r="I168" s="10"/>
      <c r="J168" s="11" t="str">
        <f>IF(COUNTIF(C170:C176,"*~**")+COUNTIF(C170:C176,"*~?*")=0,"",IF(COUNTIF(C170:C176,"*~**")&gt;0,COUNTIF(C170:C176,"*~**")&amp;" allergène"&amp;IF(COUNTIF(C170:C176,"*~**")&gt;1,"s","")&amp;" repéré"&amp;IF(COUNTIF(C170:C176,"*~**")&gt;1,"s","")&amp;" par *","")&amp;IF(AND(COUNTIF(C170:C176,"*~**")&gt;0,COUNTIF(C170:C176,"*~?*")&gt;0)," | ","")&amp;IF(COUNTIF(C170:C176,"*~?*")&gt;0,COUNTIF(C170:C176,"*~?*")&amp;" produit"&amp;IF(COUNTIF(C170:C176,"*~?*")&gt;1,"s","")&amp;" à vérifier par ?",""))</f>
        <v>1 produit à vérifier par ?</v>
      </c>
      <c r="K168" s="10"/>
      <c r="L168" s="10"/>
      <c r="M168" s="63"/>
      <c r="N168" s="3"/>
      <c r="O168" s="39" t="s">
        <v>244</v>
      </c>
      <c r="Q168" s="14" t="s">
        <v>134</v>
      </c>
      <c r="R168" s="156">
        <f>IF(OR(R167="",R169="",R169=0),"",R167/R169)</f>
        <v>1.5499999999999998</v>
      </c>
      <c r="S168" s="50" t="s">
        <v>135</v>
      </c>
      <c r="T168" s="50"/>
      <c r="V168" s="852" t="s">
        <v>136</v>
      </c>
      <c r="W168" s="853">
        <f>R167</f>
        <v>27.9</v>
      </c>
      <c r="X168" s="854" t="s">
        <v>90</v>
      </c>
      <c r="Y168" s="43"/>
      <c r="Z168" s="44" t="s">
        <v>137</v>
      </c>
      <c r="AA168" s="54" t="str">
        <f>C161</f>
        <v>NEGRONI</v>
      </c>
      <c r="AB168" s="43"/>
      <c r="AC168" s="759"/>
      <c r="AD168" s="759"/>
      <c r="AE168" s="759"/>
      <c r="AF168" s="759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24.95" customHeight="1">
      <c r="A169" s="712"/>
      <c r="B169" s="66">
        <v>0</v>
      </c>
      <c r="C169" s="64" t="s">
        <v>141</v>
      </c>
      <c r="D169" s="65" t="s">
        <v>142</v>
      </c>
      <c r="E169" s="64" t="s">
        <v>9</v>
      </c>
      <c r="F169" s="66" t="s">
        <v>143</v>
      </c>
      <c r="G169" s="66" t="s">
        <v>144</v>
      </c>
      <c r="H169" s="66" t="s">
        <v>145</v>
      </c>
      <c r="I169" s="67" t="s">
        <v>146</v>
      </c>
      <c r="J169" s="67" t="s">
        <v>847</v>
      </c>
      <c r="K169" s="67" t="s">
        <v>148</v>
      </c>
      <c r="L169" s="67" t="s">
        <v>149</v>
      </c>
      <c r="M169" s="68" t="s">
        <v>150</v>
      </c>
      <c r="N169" s="3"/>
      <c r="O169" s="39" t="s">
        <v>24</v>
      </c>
      <c r="Q169" s="14" t="s">
        <v>152</v>
      </c>
      <c r="R169" s="49">
        <f>IF(AND(ISNUMBER(R162),R162&gt;0,ISNUMBER(I163),I163&gt;0),R162*1000/(I163*10),IF(AND(ISNUMBER(R161),R161&gt;0),R161,""))</f>
        <v>18</v>
      </c>
      <c r="S169" s="50" t="s">
        <v>76</v>
      </c>
      <c r="T169" s="50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H169" s="25" t="s">
        <v>153</v>
      </c>
      <c r="AI169" s="25"/>
      <c r="AJ169" s="25" t="s">
        <v>490</v>
      </c>
      <c r="AK169" s="25"/>
      <c r="AL169" s="25"/>
      <c r="AM169" s="25"/>
      <c r="AN169" s="26"/>
      <c r="AO169" s="26"/>
      <c r="AP169" s="26"/>
      <c r="AQ169" s="26"/>
      <c r="AR169" s="26"/>
      <c r="AS169" s="26"/>
    </row>
    <row r="170" spans="1:45" ht="24.95" customHeight="1">
      <c r="A170" s="712"/>
      <c r="B170" s="731">
        <v>1</v>
      </c>
      <c r="C170" s="70" t="s">
        <v>712</v>
      </c>
      <c r="D170" s="79">
        <v>3</v>
      </c>
      <c r="E170" s="18" t="s">
        <v>32</v>
      </c>
      <c r="F170" s="72">
        <v>40</v>
      </c>
      <c r="G170" s="732">
        <v>0.95</v>
      </c>
      <c r="H170" s="733" t="s">
        <v>156</v>
      </c>
      <c r="I170" s="161">
        <v>22</v>
      </c>
      <c r="J170" s="73"/>
      <c r="K170" s="73"/>
      <c r="L170" s="73"/>
      <c r="M170" s="74"/>
      <c r="N170" s="3"/>
      <c r="O170" s="39" t="s">
        <v>268</v>
      </c>
      <c r="Q170" s="14" t="s">
        <v>158</v>
      </c>
      <c r="R170" s="75" t="str">
        <f>IF(AND(ISNUMBER(R162),R162&gt;0),"VOLUME TOTAL",IF(AND(ISNUMBER(R161),R161&gt;0),"NOMBRE DE COCKTAILS","RÉFÉRENCE"))</f>
        <v>NOMBRE DE COCKTAILS</v>
      </c>
      <c r="S170" s="50"/>
      <c r="T170" s="50"/>
      <c r="V170" s="831" t="s">
        <v>159</v>
      </c>
      <c r="W170" s="36" t="s">
        <v>160</v>
      </c>
      <c r="X170" s="76" t="s">
        <v>161</v>
      </c>
      <c r="Y170" s="835" t="s">
        <v>162</v>
      </c>
      <c r="Z170" s="838" t="s">
        <v>163</v>
      </c>
      <c r="AA170" s="36" t="s">
        <v>164</v>
      </c>
      <c r="AB170" s="36" t="s">
        <v>9</v>
      </c>
      <c r="AC170" s="841" t="s">
        <v>165</v>
      </c>
      <c r="AD170" s="296" t="s">
        <v>166</v>
      </c>
      <c r="AE170" s="36" t="s">
        <v>146</v>
      </c>
      <c r="AF170" s="833" t="s">
        <v>167</v>
      </c>
      <c r="AH170" s="77" t="s">
        <v>168</v>
      </c>
      <c r="AI170" s="78" t="s">
        <v>159</v>
      </c>
      <c r="AJ170" s="77" t="s">
        <v>10</v>
      </c>
      <c r="AK170" s="77" t="s">
        <v>169</v>
      </c>
      <c r="AL170" s="77" t="s">
        <v>170</v>
      </c>
      <c r="AM170" s="77" t="s">
        <v>91</v>
      </c>
      <c r="AN170" s="78" t="s">
        <v>161</v>
      </c>
      <c r="AO170" s="77" t="s">
        <v>171</v>
      </c>
      <c r="AP170" s="77" t="s">
        <v>172</v>
      </c>
      <c r="AQ170" s="77" t="s">
        <v>165</v>
      </c>
      <c r="AR170" s="77" t="s">
        <v>167</v>
      </c>
      <c r="AS170" s="77" t="s">
        <v>173</v>
      </c>
    </row>
    <row r="171" spans="1:45" ht="24.95" customHeight="1">
      <c r="A171" s="712"/>
      <c r="B171" s="734">
        <v>2</v>
      </c>
      <c r="C171" s="70" t="s">
        <v>155</v>
      </c>
      <c r="D171" s="79">
        <v>3</v>
      </c>
      <c r="E171" s="18" t="s">
        <v>32</v>
      </c>
      <c r="F171" s="72">
        <v>25</v>
      </c>
      <c r="G171" s="732">
        <v>1.05</v>
      </c>
      <c r="H171" s="733" t="s">
        <v>156</v>
      </c>
      <c r="I171" s="161">
        <v>18</v>
      </c>
      <c r="J171" s="73"/>
      <c r="K171" s="73"/>
      <c r="L171" s="73"/>
      <c r="M171" s="74"/>
      <c r="N171" s="3"/>
      <c r="O171" s="39" t="s">
        <v>273</v>
      </c>
      <c r="Q171" s="14" t="s">
        <v>35</v>
      </c>
      <c r="R171" s="35">
        <f>IFERROR(VLOOKUP(F162,$BB$5:$BC$40,2,FALSE),"")</f>
        <v>25</v>
      </c>
      <c r="S171" s="50" t="s">
        <v>32</v>
      </c>
      <c r="T171" s="50"/>
      <c r="V171" s="846" t="str">
        <f t="shared" ref="V171:V177" si="88">IF(AI171="","",AI171)</f>
        <v>Gin</v>
      </c>
      <c r="W171" s="848" t="str">
        <f t="shared" ref="W171:W177" si="89">IF(C170="","",IF(H170="QS","QS",D170&amp;" "&amp;E170))</f>
        <v>3 cl</v>
      </c>
      <c r="X171" s="81">
        <f t="shared" ref="X171:X177" si="90">IF(AN171="","",AN171)</f>
        <v>540</v>
      </c>
      <c r="Y171" s="836" t="str">
        <f t="shared" ref="Y171:Y177" si="91">IF(C170="","",IF(H170="QS","Qt. suffisante",IF(AN171="","",IF(AJ171="VOLUME",IF(AN171&gt;=1000,TEXT(AO171,"0.00")&amp;" "&amp;AP171,IF(AN171&gt;=10,TEXT(AO171,"0.0")&amp;" "&amp;AP171&amp;" ► "&amp;TEXT(AN171/1000,"0.000")&amp;" L",TEXT(AO171,"0.0")&amp;" "&amp;AP171)),IF(AJ171="MASSE",TEXT(AO171,"0.00")&amp;" "&amp;AP171,AO171&amp;" "&amp;AP171)))))</f>
        <v>54.0 cl ► 0.540 L</v>
      </c>
      <c r="Z171" s="839" t="str">
        <f>IF(OR(C170="",AJ171&lt;&gt;"VOLUME",AN178=0),"","≈ "&amp;TEXT(ROUND(AN171/AN178*10*2,0)/2,"0.0")&amp;"/10")</f>
        <v>≈ 3.5/10</v>
      </c>
      <c r="AA171" s="82" t="str">
        <f t="shared" ref="AA171:AA177" si="92">IF(AJ171="AUTRE",AO171,"")</f>
        <v/>
      </c>
      <c r="AB171" s="83" t="str">
        <f t="shared" ref="AB171:AB177" si="93">IF(C170="","",AP171)</f>
        <v>cl</v>
      </c>
      <c r="AC171" s="842">
        <f t="shared" ref="AC171:AC177" si="94">IF(C170="","",AQ171)</f>
        <v>216</v>
      </c>
      <c r="AD171" s="163">
        <f t="shared" ref="AD171:AD177" si="95">IF(C170="","",IF(ISNUMBER(F170),F170,0))</f>
        <v>40</v>
      </c>
      <c r="AE171" s="164">
        <f t="shared" ref="AE171:AE177" si="96">IF(C170="","",IF(ISNUMBER(I170),I170,""))</f>
        <v>22</v>
      </c>
      <c r="AF171" s="855">
        <f t="shared" ref="AF171:AF177" si="97">IF(C170="","",AR171)</f>
        <v>11.88</v>
      </c>
      <c r="AH171" s="84">
        <f t="shared" ref="AH171:AH177" si="98">IF(C170="","",B170)</f>
        <v>1</v>
      </c>
      <c r="AI171" s="85" t="str">
        <f t="shared" ref="AI171:AI177" si="99">IF(C170="","",C170)</f>
        <v>Gin</v>
      </c>
      <c r="AJ171" s="84" t="str">
        <f t="shared" ref="AJ171:AJ177" si="100">IF(C170="","",IFERROR(VLOOKUP(E170,$AU$5:$AY$121,2,FALSE),"UNITÉ ?"))</f>
        <v>VOLUME</v>
      </c>
      <c r="AK171" s="84">
        <f t="shared" ref="AK171:AK177" si="101">IF(C170="","",IFERROR(VLOOKUP(E170,$AU$5:$AY$121,3,FALSE),""))</f>
        <v>10</v>
      </c>
      <c r="AL171" s="84">
        <f t="shared" ref="AL171:AL177" si="102">IF(OR(C170="",H170="QS",NOT(ISNUMBER(D170))),"",D170*AK171)</f>
        <v>30</v>
      </c>
      <c r="AM171" s="84">
        <f>IF(C170="","",R163)</f>
        <v>18</v>
      </c>
      <c r="AN171" s="84">
        <f t="shared" ref="AN171:AN177" si="103">IF(C170="","",IF(H170="QS","",IF(AL171="","",IF(OR(H170="F",H170="FIXE"),AL171,AL171*AM171))))</f>
        <v>540</v>
      </c>
      <c r="AO171" s="84">
        <f t="shared" ref="AO171:AO177" si="104">IF(C170="","",IF(H170="QS","",IF(AN171="","",IF(AJ171="VOLUME",IF(AN171&gt;=1000,ROUND(AN171/1000,2),IF(AN171&gt;=10,ROUND(AN171/10,1),ROUND(AN171,1))),IF(AJ171="MASSE",IF(AN171&gt;=1000,ROUND(AN171/1000,2),ROUND(AN171,0)),ROUND(AN171,2))))))</f>
        <v>54</v>
      </c>
      <c r="AP171" s="84" t="str">
        <f t="shared" ref="AP171:AP177" si="105">IF(C170="","",IF(H170="QS","",IF(AN171="","",IF(AJ171="VOLUME",IF(AN171&gt;=1000,"L",IF(AN171&gt;=10,"cl","ml")),IF(AJ171="MASSE",IF(AN171&gt;=1000,"Kg","g"),IFERROR(VLOOKUP(E170,$AU$5:$AY$121,5,FALSE),E170))))))</f>
        <v>cl</v>
      </c>
      <c r="AQ171" s="84">
        <f t="shared" ref="AQ171:AQ177" si="106">IF(C170="","",IF(OR(AJ171&lt;&gt;"VOLUME",NOT(ISNUMBER(F170)),AN171=""),0,AN171*F170/100))</f>
        <v>216</v>
      </c>
      <c r="AR171" s="84">
        <f t="shared" ref="AR171:AR177" si="107">IF(C170="","",IF(H170="QS",0,IF(NOT(ISNUMBER(I170)),0,IF(OR(AJ171="VOLUME",AJ171="MASSE"),AN171/1000*I170,AN171*I170))))</f>
        <v>11.88</v>
      </c>
      <c r="AS171" s="84" t="str">
        <f t="shared" ref="AS171:AS177" si="108">IF(C170="","",IF(H170="QS","OK",IF(NOT(ISNUMBER(D170)),"QUANTITÉ ?",IF(E170="","UNITÉ ?",IF(AJ171="UNITÉ ?","UNITÉ ?",IF(AND(H170&lt;&gt;"",H170&lt;&gt;"PROP",H170&lt;&gt;"F",H170&lt;&gt;"FIXE",H170&lt;&gt;"QS"),"RÈGLE ?","OK"))))))</f>
        <v>OK</v>
      </c>
    </row>
    <row r="172" spans="1:45" ht="24.95" customHeight="1">
      <c r="A172" s="712"/>
      <c r="B172" s="731">
        <v>3</v>
      </c>
      <c r="C172" s="70" t="s">
        <v>7326</v>
      </c>
      <c r="D172" s="79">
        <v>3</v>
      </c>
      <c r="E172" s="18" t="s">
        <v>32</v>
      </c>
      <c r="F172" s="72">
        <v>16</v>
      </c>
      <c r="G172" s="732">
        <v>1.02</v>
      </c>
      <c r="H172" s="733" t="s">
        <v>156</v>
      </c>
      <c r="I172" s="161">
        <v>10</v>
      </c>
      <c r="J172" s="73" t="s">
        <v>6554</v>
      </c>
      <c r="K172" s="73" t="s">
        <v>7327</v>
      </c>
      <c r="L172" s="73"/>
      <c r="M172" s="74"/>
      <c r="N172" s="3"/>
      <c r="O172" s="39" t="s">
        <v>29</v>
      </c>
      <c r="V172" s="846" t="str">
        <f t="shared" si="88"/>
        <v>Bitter Campari</v>
      </c>
      <c r="W172" s="848" t="str">
        <f t="shared" si="89"/>
        <v>3 cl</v>
      </c>
      <c r="X172" s="81">
        <f t="shared" si="90"/>
        <v>540</v>
      </c>
      <c r="Y172" s="836" t="str">
        <f t="shared" si="91"/>
        <v>54.0 cl ► 0.540 L</v>
      </c>
      <c r="Z172" s="839" t="str">
        <f>IF(OR(C171="",AJ172&lt;&gt;"VOLUME",AN178=0),"","≈ "&amp;TEXT(ROUND(AN172/AN178*10*2,0)/2,"0.0")&amp;"/10")</f>
        <v>≈ 3.5/10</v>
      </c>
      <c r="AA172" s="82" t="str">
        <f t="shared" si="92"/>
        <v/>
      </c>
      <c r="AB172" s="83" t="str">
        <f t="shared" si="93"/>
        <v>cl</v>
      </c>
      <c r="AC172" s="842">
        <f t="shared" si="94"/>
        <v>135</v>
      </c>
      <c r="AD172" s="163">
        <f t="shared" si="95"/>
        <v>25</v>
      </c>
      <c r="AE172" s="164">
        <f t="shared" si="96"/>
        <v>18</v>
      </c>
      <c r="AF172" s="855">
        <f t="shared" si="97"/>
        <v>9.7200000000000006</v>
      </c>
      <c r="AH172" s="84">
        <f t="shared" si="98"/>
        <v>2</v>
      </c>
      <c r="AI172" s="85" t="str">
        <f t="shared" si="99"/>
        <v>Bitter Campari</v>
      </c>
      <c r="AJ172" s="84" t="str">
        <f t="shared" si="100"/>
        <v>VOLUME</v>
      </c>
      <c r="AK172" s="84">
        <f t="shared" si="101"/>
        <v>10</v>
      </c>
      <c r="AL172" s="84">
        <f t="shared" si="102"/>
        <v>30</v>
      </c>
      <c r="AM172" s="84">
        <f>IF(C171="","",R163)</f>
        <v>18</v>
      </c>
      <c r="AN172" s="84">
        <f t="shared" si="103"/>
        <v>540</v>
      </c>
      <c r="AO172" s="84">
        <f t="shared" si="104"/>
        <v>54</v>
      </c>
      <c r="AP172" s="84" t="str">
        <f t="shared" si="105"/>
        <v>cl</v>
      </c>
      <c r="AQ172" s="84">
        <f t="shared" si="106"/>
        <v>135</v>
      </c>
      <c r="AR172" s="84">
        <f t="shared" si="107"/>
        <v>9.7200000000000006</v>
      </c>
      <c r="AS172" s="84" t="str">
        <f t="shared" si="108"/>
        <v>OK</v>
      </c>
    </row>
    <row r="173" spans="1:45" ht="24.95" customHeight="1">
      <c r="A173" s="712"/>
      <c r="B173" s="734">
        <v>4</v>
      </c>
      <c r="C173" s="70" t="s">
        <v>7328</v>
      </c>
      <c r="D173" s="79">
        <v>1</v>
      </c>
      <c r="E173" s="53" t="s">
        <v>236</v>
      </c>
      <c r="F173" s="72"/>
      <c r="G173" s="732">
        <v>1</v>
      </c>
      <c r="H173" s="733" t="s">
        <v>156</v>
      </c>
      <c r="I173" s="161">
        <v>0.05</v>
      </c>
      <c r="J173" s="73"/>
      <c r="K173" s="73" t="s">
        <v>7314</v>
      </c>
      <c r="L173" s="73"/>
      <c r="M173" s="74"/>
      <c r="N173" s="3"/>
      <c r="O173" s="39" t="s">
        <v>280</v>
      </c>
      <c r="Q173" s="744" t="s">
        <v>566</v>
      </c>
      <c r="V173" s="846" t="str">
        <f t="shared" si="88"/>
        <v>Vermouth rouge?</v>
      </c>
      <c r="W173" s="848" t="str">
        <f t="shared" si="89"/>
        <v>3 cl</v>
      </c>
      <c r="X173" s="81">
        <f t="shared" si="90"/>
        <v>540</v>
      </c>
      <c r="Y173" s="836" t="str">
        <f t="shared" si="91"/>
        <v>54.0 cl ► 0.540 L</v>
      </c>
      <c r="Z173" s="839" t="str">
        <f>IF(OR(C172="",AJ173&lt;&gt;"VOLUME",AN178=0),"","≈ "&amp;TEXT(ROUND(AN173/AN178*10*2,0)/2,"0.0")&amp;"/10")</f>
        <v>≈ 3.5/10</v>
      </c>
      <c r="AA173" s="82" t="str">
        <f t="shared" si="92"/>
        <v/>
      </c>
      <c r="AB173" s="83" t="str">
        <f t="shared" si="93"/>
        <v>cl</v>
      </c>
      <c r="AC173" s="842">
        <f t="shared" si="94"/>
        <v>86.4</v>
      </c>
      <c r="AD173" s="163">
        <f t="shared" si="95"/>
        <v>16</v>
      </c>
      <c r="AE173" s="164">
        <f t="shared" si="96"/>
        <v>10</v>
      </c>
      <c r="AF173" s="855">
        <f t="shared" si="97"/>
        <v>5.4</v>
      </c>
      <c r="AH173" s="84">
        <f t="shared" si="98"/>
        <v>3</v>
      </c>
      <c r="AI173" s="85" t="str">
        <f t="shared" si="99"/>
        <v>Vermouth rouge?</v>
      </c>
      <c r="AJ173" s="84" t="str">
        <f t="shared" si="100"/>
        <v>VOLUME</v>
      </c>
      <c r="AK173" s="84">
        <f t="shared" si="101"/>
        <v>10</v>
      </c>
      <c r="AL173" s="84">
        <f t="shared" si="102"/>
        <v>30</v>
      </c>
      <c r="AM173" s="84">
        <f>IF(C172="","",R163)</f>
        <v>18</v>
      </c>
      <c r="AN173" s="84">
        <f t="shared" si="103"/>
        <v>540</v>
      </c>
      <c r="AO173" s="84">
        <f t="shared" si="104"/>
        <v>54</v>
      </c>
      <c r="AP173" s="84" t="str">
        <f t="shared" si="105"/>
        <v>cl</v>
      </c>
      <c r="AQ173" s="84">
        <f t="shared" si="106"/>
        <v>86.4</v>
      </c>
      <c r="AR173" s="84">
        <f t="shared" si="107"/>
        <v>5.4</v>
      </c>
      <c r="AS173" s="84" t="str">
        <f t="shared" si="108"/>
        <v>OK</v>
      </c>
    </row>
    <row r="174" spans="1:45" ht="24.95" customHeight="1">
      <c r="A174" s="712"/>
      <c r="B174" s="731">
        <v>5</v>
      </c>
      <c r="C174" s="70" t="s">
        <v>188</v>
      </c>
      <c r="D174" s="79"/>
      <c r="E174" s="53" t="s">
        <v>151</v>
      </c>
      <c r="F174" s="72"/>
      <c r="G174" s="732">
        <v>1</v>
      </c>
      <c r="H174" s="733" t="s">
        <v>151</v>
      </c>
      <c r="I174" s="161">
        <v>0</v>
      </c>
      <c r="J174" s="73"/>
      <c r="K174" s="73"/>
      <c r="L174" s="73"/>
      <c r="M174" s="74"/>
      <c r="N174" s="3"/>
      <c r="O174" s="39" t="s">
        <v>283</v>
      </c>
      <c r="Q174" s="744"/>
      <c r="V174" s="846" t="str">
        <f t="shared" si="88"/>
        <v>Zeste d'orange</v>
      </c>
      <c r="W174" s="848" t="str">
        <f t="shared" si="89"/>
        <v>1 Zeste(s)</v>
      </c>
      <c r="X174" s="81">
        <f t="shared" si="90"/>
        <v>18</v>
      </c>
      <c r="Y174" s="836" t="str">
        <f t="shared" si="91"/>
        <v>18 zeste(s)</v>
      </c>
      <c r="Z174" s="839" t="str">
        <f>IF(OR(C173="",AJ174&lt;&gt;"VOLUME",AN178=0),"","≈ "&amp;TEXT(ROUND(AN174/AN178*10*2,0)/2,"0.0")&amp;"/10")</f>
        <v/>
      </c>
      <c r="AA174" s="82">
        <f t="shared" si="92"/>
        <v>18</v>
      </c>
      <c r="AB174" s="83" t="str">
        <f t="shared" si="93"/>
        <v>zeste(s)</v>
      </c>
      <c r="AC174" s="842">
        <f t="shared" si="94"/>
        <v>0</v>
      </c>
      <c r="AD174" s="163">
        <f t="shared" si="95"/>
        <v>0</v>
      </c>
      <c r="AE174" s="164">
        <f t="shared" si="96"/>
        <v>0.05</v>
      </c>
      <c r="AF174" s="855">
        <f t="shared" si="97"/>
        <v>0.9</v>
      </c>
      <c r="AH174" s="84">
        <f t="shared" si="98"/>
        <v>4</v>
      </c>
      <c r="AI174" s="85" t="str">
        <f t="shared" si="99"/>
        <v>Zeste d'orange</v>
      </c>
      <c r="AJ174" s="84" t="str">
        <f t="shared" si="100"/>
        <v>AUTRE</v>
      </c>
      <c r="AK174" s="84">
        <f t="shared" si="101"/>
        <v>1</v>
      </c>
      <c r="AL174" s="84">
        <f t="shared" si="102"/>
        <v>1</v>
      </c>
      <c r="AM174" s="84">
        <f>IF(C173="","",R163)</f>
        <v>18</v>
      </c>
      <c r="AN174" s="84">
        <f t="shared" si="103"/>
        <v>18</v>
      </c>
      <c r="AO174" s="84">
        <f t="shared" si="104"/>
        <v>18</v>
      </c>
      <c r="AP174" s="84" t="str">
        <f t="shared" si="105"/>
        <v>zeste(s)</v>
      </c>
      <c r="AQ174" s="84">
        <f t="shared" si="106"/>
        <v>0</v>
      </c>
      <c r="AR174" s="84">
        <f t="shared" si="107"/>
        <v>0.9</v>
      </c>
      <c r="AS174" s="84" t="str">
        <f t="shared" si="108"/>
        <v>OK</v>
      </c>
    </row>
    <row r="175" spans="1:45" ht="24.95" customHeight="1">
      <c r="A175" s="712"/>
      <c r="B175" s="734"/>
      <c r="C175" s="70"/>
      <c r="D175" s="79"/>
      <c r="E175" s="3"/>
      <c r="F175" s="72"/>
      <c r="G175" s="732"/>
      <c r="H175" s="733"/>
      <c r="I175" s="161"/>
      <c r="J175" s="73"/>
      <c r="K175" s="73"/>
      <c r="L175" s="73"/>
      <c r="M175" s="74"/>
      <c r="N175" s="3"/>
      <c r="O175" s="39" t="s">
        <v>33</v>
      </c>
      <c r="V175" s="846" t="str">
        <f t="shared" si="88"/>
        <v>Glace</v>
      </c>
      <c r="W175" s="848" t="str">
        <f t="shared" si="89"/>
        <v>QS</v>
      </c>
      <c r="X175" s="81" t="str">
        <f t="shared" si="90"/>
        <v/>
      </c>
      <c r="Y175" s="836" t="str">
        <f t="shared" si="91"/>
        <v>Qt. suffisante</v>
      </c>
      <c r="Z175" s="839" t="str">
        <f>IF(OR(C174="",AJ175&lt;&gt;"VOLUME",AN178=0),"","≈ "&amp;TEXT(ROUND(AN175/AN178*10*2,0)/2,"0.0")&amp;"/10")</f>
        <v/>
      </c>
      <c r="AA175" s="80" t="str">
        <f t="shared" si="92"/>
        <v/>
      </c>
      <c r="AB175" s="83" t="str">
        <f t="shared" si="93"/>
        <v/>
      </c>
      <c r="AC175" s="842">
        <f t="shared" si="94"/>
        <v>0</v>
      </c>
      <c r="AD175" s="163">
        <f t="shared" si="95"/>
        <v>0</v>
      </c>
      <c r="AE175" s="164">
        <f t="shared" si="96"/>
        <v>0</v>
      </c>
      <c r="AF175" s="855">
        <f t="shared" si="97"/>
        <v>0</v>
      </c>
      <c r="AH175" s="84">
        <f t="shared" si="98"/>
        <v>5</v>
      </c>
      <c r="AI175" s="85" t="str">
        <f t="shared" si="99"/>
        <v>Glace</v>
      </c>
      <c r="AJ175" s="84" t="str">
        <f t="shared" si="100"/>
        <v>AUTRE</v>
      </c>
      <c r="AK175" s="84">
        <f t="shared" si="101"/>
        <v>1</v>
      </c>
      <c r="AL175" s="84" t="str">
        <f t="shared" si="102"/>
        <v/>
      </c>
      <c r="AM175" s="84">
        <f>IF(C174="","",R163)</f>
        <v>18</v>
      </c>
      <c r="AN175" s="84" t="str">
        <f t="shared" si="103"/>
        <v/>
      </c>
      <c r="AO175" s="84" t="str">
        <f t="shared" si="104"/>
        <v/>
      </c>
      <c r="AP175" s="84" t="str">
        <f t="shared" si="105"/>
        <v/>
      </c>
      <c r="AQ175" s="84">
        <f t="shared" si="106"/>
        <v>0</v>
      </c>
      <c r="AR175" s="84">
        <f t="shared" si="107"/>
        <v>0</v>
      </c>
      <c r="AS175" s="84" t="str">
        <f t="shared" si="108"/>
        <v>OK</v>
      </c>
    </row>
    <row r="176" spans="1:45" ht="24.95" customHeight="1">
      <c r="A176" s="712"/>
      <c r="B176" s="731"/>
      <c r="C176" s="70"/>
      <c r="D176" s="79"/>
      <c r="E176" s="3"/>
      <c r="F176" s="72"/>
      <c r="G176" s="732"/>
      <c r="H176" s="733"/>
      <c r="I176" s="161"/>
      <c r="J176" s="73"/>
      <c r="K176" s="73"/>
      <c r="L176" s="73"/>
      <c r="M176" s="74"/>
      <c r="N176" s="3"/>
      <c r="O176" s="39" t="s">
        <v>40</v>
      </c>
      <c r="Q176" s="355" t="s">
        <v>558</v>
      </c>
      <c r="V176" s="847" t="str">
        <f t="shared" si="88"/>
        <v/>
      </c>
      <c r="W176" s="849" t="str">
        <f t="shared" si="89"/>
        <v/>
      </c>
      <c r="X176" s="86" t="str">
        <f t="shared" si="90"/>
        <v/>
      </c>
      <c r="Y176" s="837" t="str">
        <f t="shared" si="91"/>
        <v/>
      </c>
      <c r="Z176" s="840" t="str">
        <f>IF(OR(C175="",AJ176&lt;&gt;"VOLUME",AN178=0),"","≈ "&amp;TEXT(ROUND(AN176/AN178*10*2,0)/2,"0.0")&amp;"/10")</f>
        <v/>
      </c>
      <c r="AA176" s="87" t="str">
        <f t="shared" si="92"/>
        <v/>
      </c>
      <c r="AB176" s="88" t="str">
        <f t="shared" si="93"/>
        <v/>
      </c>
      <c r="AC176" s="843" t="str">
        <f t="shared" si="94"/>
        <v/>
      </c>
      <c r="AD176" s="88" t="str">
        <f t="shared" si="95"/>
        <v/>
      </c>
      <c r="AE176" s="88" t="str">
        <f t="shared" si="96"/>
        <v/>
      </c>
      <c r="AF176" s="834" t="str">
        <f t="shared" si="97"/>
        <v/>
      </c>
      <c r="AH176" s="84" t="str">
        <f t="shared" si="98"/>
        <v/>
      </c>
      <c r="AI176" s="85" t="str">
        <f t="shared" si="99"/>
        <v/>
      </c>
      <c r="AJ176" s="84" t="str">
        <f t="shared" si="100"/>
        <v/>
      </c>
      <c r="AK176" s="84" t="str">
        <f t="shared" si="101"/>
        <v/>
      </c>
      <c r="AL176" s="84" t="str">
        <f t="shared" si="102"/>
        <v/>
      </c>
      <c r="AM176" s="84" t="str">
        <f>IF(C175="","",R163)</f>
        <v/>
      </c>
      <c r="AN176" s="84" t="str">
        <f t="shared" si="103"/>
        <v/>
      </c>
      <c r="AO176" s="84" t="str">
        <f t="shared" si="104"/>
        <v/>
      </c>
      <c r="AP176" s="84" t="str">
        <f t="shared" si="105"/>
        <v/>
      </c>
      <c r="AQ176" s="84" t="str">
        <f t="shared" si="106"/>
        <v/>
      </c>
      <c r="AR176" s="84" t="str">
        <f t="shared" si="107"/>
        <v/>
      </c>
      <c r="AS176" s="84" t="str">
        <f t="shared" si="108"/>
        <v/>
      </c>
    </row>
    <row r="177" spans="1:45" ht="24.95" customHeight="1">
      <c r="A177" s="712"/>
      <c r="B177" s="14" t="s">
        <v>44</v>
      </c>
      <c r="C177" s="146" t="s">
        <v>198</v>
      </c>
      <c r="D177" s="89"/>
      <c r="E177" s="89"/>
      <c r="F177" s="89"/>
      <c r="G177" s="89"/>
      <c r="H177" s="89"/>
      <c r="I177" s="89"/>
      <c r="J177" s="89"/>
      <c r="K177" s="89"/>
      <c r="L177" s="89"/>
      <c r="M177" s="90"/>
      <c r="N177" s="3"/>
      <c r="O177" s="39" t="s">
        <v>43</v>
      </c>
      <c r="Q177"/>
      <c r="V177" s="847" t="str">
        <f t="shared" si="88"/>
        <v/>
      </c>
      <c r="W177" s="849" t="str">
        <f t="shared" si="89"/>
        <v/>
      </c>
      <c r="X177" s="86" t="str">
        <f t="shared" si="90"/>
        <v/>
      </c>
      <c r="Y177" s="837" t="str">
        <f t="shared" si="91"/>
        <v/>
      </c>
      <c r="Z177" s="840" t="str">
        <f>IF(OR(C176="",AJ177&lt;&gt;"VOLUME",AN178=0),"","≈ "&amp;TEXT(ROUND(AN177/AN178*10*2,0)/2,"0.0")&amp;"/10")</f>
        <v/>
      </c>
      <c r="AA177" s="87" t="str">
        <f t="shared" si="92"/>
        <v/>
      </c>
      <c r="AB177" s="88" t="str">
        <f t="shared" si="93"/>
        <v/>
      </c>
      <c r="AC177" s="843" t="str">
        <f t="shared" si="94"/>
        <v/>
      </c>
      <c r="AD177" s="88" t="str">
        <f t="shared" si="95"/>
        <v/>
      </c>
      <c r="AE177" s="88" t="str">
        <f t="shared" si="96"/>
        <v/>
      </c>
      <c r="AF177" s="834" t="str">
        <f t="shared" si="97"/>
        <v/>
      </c>
      <c r="AH177" s="84" t="str">
        <f t="shared" si="98"/>
        <v/>
      </c>
      <c r="AI177" s="85" t="str">
        <f t="shared" si="99"/>
        <v/>
      </c>
      <c r="AJ177" s="84" t="str">
        <f t="shared" si="100"/>
        <v/>
      </c>
      <c r="AK177" s="84" t="str">
        <f t="shared" si="101"/>
        <v/>
      </c>
      <c r="AL177" s="84" t="str">
        <f t="shared" si="102"/>
        <v/>
      </c>
      <c r="AM177" s="84" t="str">
        <f>IF(C176="","",R163)</f>
        <v/>
      </c>
      <c r="AN177" s="84" t="str">
        <f t="shared" si="103"/>
        <v/>
      </c>
      <c r="AO177" s="84" t="str">
        <f t="shared" si="104"/>
        <v/>
      </c>
      <c r="AP177" s="84" t="str">
        <f t="shared" si="105"/>
        <v/>
      </c>
      <c r="AQ177" s="84" t="str">
        <f t="shared" si="106"/>
        <v/>
      </c>
      <c r="AR177" s="84" t="str">
        <f t="shared" si="107"/>
        <v/>
      </c>
      <c r="AS177" s="84" t="str">
        <f t="shared" si="108"/>
        <v/>
      </c>
    </row>
    <row r="178" spans="1:45" ht="24.95" customHeight="1">
      <c r="A178" s="712"/>
      <c r="B178" s="91">
        <v>0</v>
      </c>
      <c r="C178" s="10" t="s">
        <v>491</v>
      </c>
      <c r="D178" s="11"/>
      <c r="E178" s="11"/>
      <c r="F178" s="11"/>
      <c r="G178" s="11"/>
      <c r="H178" s="11"/>
      <c r="I178" s="11"/>
      <c r="J178" s="11"/>
      <c r="K178" s="11"/>
      <c r="L178" s="11"/>
      <c r="M178" s="92"/>
      <c r="N178" s="3"/>
      <c r="O178" s="39" t="s">
        <v>46</v>
      </c>
      <c r="Q178" s="29" t="s">
        <v>70</v>
      </c>
      <c r="V178" s="851" t="s">
        <v>203</v>
      </c>
      <c r="W178" s="93"/>
      <c r="X178" s="845">
        <f>AN178</f>
        <v>1620</v>
      </c>
      <c r="Y178" s="835" t="str">
        <f>IF(AN178=0,"",TEXT(AN178/1000,"0.000")&amp;" L")</f>
        <v>1.620 L</v>
      </c>
      <c r="Z178" s="857"/>
      <c r="AA178" s="93"/>
      <c r="AB178" s="93"/>
      <c r="AC178" s="832">
        <f>AQ178</f>
        <v>437.4</v>
      </c>
      <c r="AD178" s="844">
        <f>IF(AN178=0,"",AQ178/AN178*100)</f>
        <v>26.999999999999996</v>
      </c>
      <c r="AE178" s="93"/>
      <c r="AF178" s="856">
        <f>AR178</f>
        <v>27.9</v>
      </c>
      <c r="AH178" s="94" t="s">
        <v>203</v>
      </c>
      <c r="AI178" s="94"/>
      <c r="AJ178" s="94"/>
      <c r="AK178" s="94"/>
      <c r="AL178" s="94"/>
      <c r="AM178" s="94"/>
      <c r="AN178" s="94">
        <f>SUMIF(AJ171:AJ177,"VOLUME",AN171:AN177)</f>
        <v>1620</v>
      </c>
      <c r="AO178" s="94"/>
      <c r="AP178" s="94"/>
      <c r="AQ178" s="94">
        <f>SUM(AQ171:AQ177)</f>
        <v>437.4</v>
      </c>
      <c r="AR178" s="94">
        <f>SUM(AR171:AR177)</f>
        <v>27.9</v>
      </c>
      <c r="AS178" s="94" t="str">
        <f>IF(COUNTIF(AS171:AS177,"&lt;&gt;OK")-COUNTBLANK(AS171:AS177)=0,"OK","À CONTRÔLER")</f>
        <v>OK</v>
      </c>
    </row>
    <row r="179" spans="1:45" ht="24.95" customHeight="1">
      <c r="A179" s="712"/>
      <c r="B179" s="95">
        <v>1</v>
      </c>
      <c r="C179" s="96" t="s">
        <v>7329</v>
      </c>
      <c r="D179" s="96"/>
      <c r="E179" s="96"/>
      <c r="F179" s="96"/>
      <c r="G179" s="96"/>
      <c r="H179" s="96"/>
      <c r="I179" s="96"/>
      <c r="J179" s="96"/>
      <c r="K179" s="96"/>
      <c r="L179" s="96"/>
      <c r="M179" s="74"/>
      <c r="N179" s="3"/>
      <c r="O179" s="39" t="s">
        <v>299</v>
      </c>
      <c r="Q179" s="184"/>
      <c r="V179" s="832" t="s">
        <v>208</v>
      </c>
      <c r="W179" s="19" t="s">
        <v>209</v>
      </c>
      <c r="X179" s="36"/>
      <c r="Y179" s="858"/>
      <c r="Z179" s="859"/>
      <c r="AA179" s="97"/>
      <c r="AB179" s="97"/>
      <c r="AC179" s="97"/>
      <c r="AD179" s="97"/>
      <c r="AE179" s="97"/>
      <c r="AF179" s="860"/>
      <c r="AH179" s="3" t="s">
        <v>6994</v>
      </c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24.95" customHeight="1">
      <c r="A180" s="712"/>
      <c r="B180" s="95">
        <v>2</v>
      </c>
      <c r="C180" s="96" t="s">
        <v>7330</v>
      </c>
      <c r="D180" s="96"/>
      <c r="E180" s="96"/>
      <c r="F180" s="96"/>
      <c r="G180" s="96"/>
      <c r="H180" s="96"/>
      <c r="I180" s="96"/>
      <c r="J180" s="96"/>
      <c r="K180" s="96"/>
      <c r="L180" s="96"/>
      <c r="M180" s="74"/>
      <c r="N180" s="3"/>
      <c r="O180" s="39" t="s">
        <v>302</v>
      </c>
      <c r="P180" s="3"/>
      <c r="Q180" s="29" t="s">
        <v>584</v>
      </c>
      <c r="V180" s="98" t="str">
        <f t="shared" ref="V180:V187" si="109">IF(C179="","",C179)</f>
        <v>Préparer le tumbler et le poste de travail.</v>
      </c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H180" s="146" t="s">
        <v>214</v>
      </c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3"/>
    </row>
    <row r="181" spans="1:45" ht="24.95" customHeight="1">
      <c r="A181" s="712"/>
      <c r="B181" s="95">
        <v>3</v>
      </c>
      <c r="C181" s="96" t="s">
        <v>7331</v>
      </c>
      <c r="D181" s="96"/>
      <c r="E181" s="96"/>
      <c r="F181" s="96"/>
      <c r="G181" s="96"/>
      <c r="H181" s="96"/>
      <c r="I181" s="96"/>
      <c r="J181" s="96"/>
      <c r="K181" s="96"/>
      <c r="L181" s="96"/>
      <c r="M181" s="74"/>
      <c r="N181" s="3"/>
      <c r="O181" s="39" t="s">
        <v>305</v>
      </c>
      <c r="P181" s="3"/>
      <c r="Q181"/>
      <c r="R181" s="3"/>
      <c r="S181" s="3"/>
      <c r="T181" s="3"/>
      <c r="U181" s="3"/>
      <c r="V181" s="98" t="str">
        <f t="shared" si="109"/>
        <v>Remplir le verre de glaçons.</v>
      </c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H181" s="165" t="s">
        <v>219</v>
      </c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</row>
    <row r="182" spans="1:45" ht="24.95" customHeight="1">
      <c r="A182" s="712"/>
      <c r="B182" s="95">
        <v>4</v>
      </c>
      <c r="C182" s="96" t="s">
        <v>7332</v>
      </c>
      <c r="D182" s="96"/>
      <c r="E182" s="96"/>
      <c r="F182" s="96"/>
      <c r="G182" s="96"/>
      <c r="H182" s="96"/>
      <c r="I182" s="96"/>
      <c r="J182" s="96"/>
      <c r="K182" s="96"/>
      <c r="L182" s="96"/>
      <c r="M182" s="74"/>
      <c r="N182" s="3"/>
      <c r="O182" s="39" t="s">
        <v>307</v>
      </c>
      <c r="P182" s="3"/>
      <c r="Q182" s="356" t="s">
        <v>564</v>
      </c>
      <c r="R182" s="3"/>
      <c r="S182" s="3"/>
      <c r="T182" s="3"/>
      <c r="U182" s="3"/>
      <c r="V182" s="98" t="str">
        <f t="shared" si="109"/>
        <v>Doser le gin.</v>
      </c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H182" s="166" t="s">
        <v>222</v>
      </c>
      <c r="AI182" s="167" t="s">
        <v>223</v>
      </c>
      <c r="AJ182" s="165"/>
      <c r="AK182" s="167" t="s">
        <v>224</v>
      </c>
      <c r="AL182" s="165"/>
      <c r="AM182" s="165"/>
      <c r="AN182" s="165"/>
      <c r="AO182" s="167" t="s">
        <v>225</v>
      </c>
      <c r="AP182" s="165"/>
      <c r="AQ182" s="165"/>
      <c r="AR182" s="165"/>
    </row>
    <row r="183" spans="1:45" ht="24.95" customHeight="1">
      <c r="A183" s="712"/>
      <c r="B183" s="95">
        <v>5</v>
      </c>
      <c r="C183" s="96" t="s">
        <v>7333</v>
      </c>
      <c r="D183" s="96"/>
      <c r="E183" s="96"/>
      <c r="F183" s="96"/>
      <c r="G183" s="96"/>
      <c r="H183" s="96"/>
      <c r="I183" s="96"/>
      <c r="J183" s="96"/>
      <c r="K183" s="96"/>
      <c r="L183" s="96"/>
      <c r="M183" s="74"/>
      <c r="N183" s="3"/>
      <c r="O183" s="39" t="s">
        <v>310</v>
      </c>
      <c r="P183" s="3"/>
      <c r="Q183"/>
      <c r="R183" s="3"/>
      <c r="S183" s="3"/>
      <c r="T183" s="3"/>
      <c r="U183" s="3"/>
      <c r="V183" s="98" t="str">
        <f t="shared" si="109"/>
        <v>Ajouter le Bitter Campari.</v>
      </c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H183" s="750" t="s">
        <v>156</v>
      </c>
      <c r="AI183" s="748" t="s">
        <v>230</v>
      </c>
      <c r="AJ183" s="748"/>
      <c r="AK183" s="749" t="s">
        <v>231</v>
      </c>
      <c r="AL183" s="749"/>
      <c r="AM183" s="749"/>
      <c r="AN183" s="749"/>
      <c r="AO183" s="746" t="s">
        <v>232</v>
      </c>
      <c r="AP183" s="746"/>
      <c r="AQ183" s="746"/>
      <c r="AR183" s="746"/>
    </row>
    <row r="184" spans="1:45" ht="24.95" customHeight="1">
      <c r="A184" s="712"/>
      <c r="B184" s="95">
        <v>6</v>
      </c>
      <c r="C184" s="96" t="s">
        <v>7334</v>
      </c>
      <c r="D184" s="96"/>
      <c r="E184" s="96"/>
      <c r="F184" s="96"/>
      <c r="G184" s="96"/>
      <c r="H184" s="96"/>
      <c r="I184" s="96"/>
      <c r="J184" s="96"/>
      <c r="K184" s="96"/>
      <c r="L184" s="96"/>
      <c r="M184" s="74"/>
      <c r="N184" s="3"/>
      <c r="O184" s="39" t="s">
        <v>313</v>
      </c>
      <c r="P184" s="3"/>
      <c r="Q184" s="356" t="s">
        <v>72</v>
      </c>
      <c r="R184" s="3"/>
      <c r="S184" s="3"/>
      <c r="T184" s="3"/>
      <c r="U184" s="3"/>
      <c r="V184" s="98" t="str">
        <f t="shared" si="109"/>
        <v>Ajouter le vermouth rouge.</v>
      </c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H184" s="750"/>
      <c r="AI184" s="748"/>
      <c r="AJ184" s="748"/>
      <c r="AK184" s="749"/>
      <c r="AL184" s="749"/>
      <c r="AM184" s="749"/>
      <c r="AN184" s="749"/>
      <c r="AO184" s="746"/>
      <c r="AP184" s="746"/>
      <c r="AQ184" s="746"/>
      <c r="AR184" s="746"/>
    </row>
    <row r="185" spans="1:45" ht="24.95" customHeight="1">
      <c r="A185" s="712"/>
      <c r="B185" s="95">
        <v>7</v>
      </c>
      <c r="C185" s="96" t="s">
        <v>7335</v>
      </c>
      <c r="D185" s="96"/>
      <c r="E185" s="96"/>
      <c r="F185" s="96"/>
      <c r="G185" s="96"/>
      <c r="H185" s="96"/>
      <c r="I185" s="96"/>
      <c r="J185" s="96"/>
      <c r="K185" s="96"/>
      <c r="L185" s="96"/>
      <c r="M185" s="74"/>
      <c r="N185" s="3"/>
      <c r="O185" s="39" t="s">
        <v>49</v>
      </c>
      <c r="P185" s="3"/>
      <c r="Q185"/>
      <c r="R185" s="3"/>
      <c r="S185" s="3"/>
      <c r="T185" s="3"/>
      <c r="U185" s="3"/>
      <c r="V185" s="98" t="str">
        <f t="shared" si="109"/>
        <v>Mélanger à la cuillère sans excès.</v>
      </c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H185" s="747" t="s">
        <v>492</v>
      </c>
      <c r="AI185" s="748" t="s">
        <v>241</v>
      </c>
      <c r="AJ185" s="748"/>
      <c r="AK185" s="749" t="s">
        <v>242</v>
      </c>
      <c r="AL185" s="749"/>
      <c r="AM185" s="749"/>
      <c r="AN185" s="749"/>
      <c r="AO185" s="746" t="s">
        <v>243</v>
      </c>
      <c r="AP185" s="746"/>
      <c r="AQ185" s="746"/>
      <c r="AR185" s="746"/>
    </row>
    <row r="186" spans="1:45" ht="24.95" customHeight="1">
      <c r="A186" s="712"/>
      <c r="B186" s="95">
        <v>8</v>
      </c>
      <c r="C186" s="96" t="s">
        <v>7336</v>
      </c>
      <c r="D186" s="96"/>
      <c r="E186" s="96"/>
      <c r="F186" s="96"/>
      <c r="G186" s="96"/>
      <c r="H186" s="96"/>
      <c r="I186" s="96"/>
      <c r="J186" s="96"/>
      <c r="K186" s="96"/>
      <c r="L186" s="96"/>
      <c r="M186" s="74"/>
      <c r="N186" s="3"/>
      <c r="O186" s="39" t="s">
        <v>316</v>
      </c>
      <c r="P186" s="3"/>
      <c r="Q186" s="356" t="s">
        <v>602</v>
      </c>
      <c r="R186" s="3"/>
      <c r="S186" s="3"/>
      <c r="T186" s="3"/>
      <c r="U186" s="3"/>
      <c r="V186" s="98" t="str">
        <f t="shared" si="109"/>
        <v>Exprimer le zeste d’orange au-dessus du verre puis le déposer.</v>
      </c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H186" s="747"/>
      <c r="AI186" s="748"/>
      <c r="AJ186" s="748"/>
      <c r="AK186" s="749"/>
      <c r="AL186" s="749"/>
      <c r="AM186" s="749"/>
      <c r="AN186" s="749"/>
      <c r="AO186" s="746"/>
      <c r="AP186" s="746"/>
      <c r="AQ186" s="746"/>
      <c r="AR186" s="746"/>
    </row>
    <row r="187" spans="1:45" ht="24.95" customHeight="1">
      <c r="A187" s="712"/>
      <c r="B187" s="101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90"/>
      <c r="N187" s="3"/>
      <c r="O187" s="39" t="s">
        <v>318</v>
      </c>
      <c r="P187" s="3"/>
      <c r="Q187" s="183"/>
      <c r="R187" s="3"/>
      <c r="S187" s="3"/>
      <c r="T187" s="3"/>
      <c r="U187" s="3"/>
      <c r="V187" s="98" t="str">
        <f t="shared" si="109"/>
        <v>Contrôler la dilution et servir.</v>
      </c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H187" s="750" t="s">
        <v>6993</v>
      </c>
      <c r="AI187" s="748" t="s">
        <v>252</v>
      </c>
      <c r="AJ187" s="748"/>
      <c r="AK187" s="749" t="s">
        <v>253</v>
      </c>
      <c r="AL187" s="749"/>
      <c r="AM187" s="749"/>
      <c r="AN187" s="749"/>
      <c r="AO187" s="746" t="s">
        <v>254</v>
      </c>
      <c r="AP187" s="746"/>
      <c r="AQ187" s="746"/>
      <c r="AR187" s="746"/>
    </row>
    <row r="188" spans="1:45" ht="24.95" customHeight="1">
      <c r="A188" s="712"/>
      <c r="B188" s="10" t="s">
        <v>258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92"/>
      <c r="N188" s="3"/>
      <c r="O188" s="39" t="s">
        <v>320</v>
      </c>
      <c r="P188" s="3"/>
      <c r="Q188" s="356" t="s">
        <v>609</v>
      </c>
      <c r="R188" s="3"/>
      <c r="S188" s="3"/>
      <c r="T188" s="3"/>
      <c r="U188" s="3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H188" s="750"/>
      <c r="AI188" s="748"/>
      <c r="AJ188" s="748"/>
      <c r="AK188" s="749"/>
      <c r="AL188" s="749"/>
      <c r="AM188" s="749"/>
      <c r="AN188" s="749"/>
      <c r="AO188" s="746"/>
      <c r="AP188" s="746"/>
      <c r="AQ188" s="746"/>
      <c r="AR188" s="746"/>
    </row>
    <row r="189" spans="1:45" ht="24.95" customHeight="1">
      <c r="A189" s="712"/>
      <c r="B189" s="102" t="s">
        <v>259</v>
      </c>
      <c r="C189" s="73" t="s">
        <v>83</v>
      </c>
      <c r="D189" s="73"/>
      <c r="E189" s="73"/>
      <c r="F189" s="73"/>
      <c r="G189" s="73"/>
      <c r="H189" s="73"/>
      <c r="I189" s="73"/>
      <c r="J189" s="73"/>
      <c r="K189" s="73"/>
      <c r="L189" s="73"/>
      <c r="M189" s="74"/>
      <c r="N189" s="3"/>
      <c r="O189" s="39" t="s">
        <v>53</v>
      </c>
      <c r="P189" s="3"/>
      <c r="R189" s="3"/>
      <c r="S189" s="3"/>
      <c r="T189" s="3"/>
      <c r="U189" s="3"/>
      <c r="V189" s="103" t="s">
        <v>260</v>
      </c>
      <c r="W189" s="103" t="s">
        <v>209</v>
      </c>
      <c r="X189" s="103"/>
      <c r="Y189" s="103"/>
      <c r="Z189" s="103"/>
      <c r="AA189" s="103"/>
      <c r="AB189" s="103"/>
      <c r="AC189" s="103"/>
      <c r="AD189" s="103"/>
      <c r="AE189" s="103"/>
      <c r="AF189" s="103"/>
      <c r="AH189" s="171" t="s">
        <v>261</v>
      </c>
      <c r="AI189" s="172"/>
      <c r="AJ189" s="165"/>
      <c r="AK189" s="165"/>
      <c r="AL189" s="165"/>
      <c r="AM189" s="165"/>
      <c r="AN189" s="165"/>
      <c r="AO189" s="165"/>
      <c r="AP189" s="165"/>
      <c r="AQ189" s="165"/>
      <c r="AR189" s="165"/>
    </row>
    <row r="190" spans="1:45" ht="24.95" customHeight="1">
      <c r="A190" s="712"/>
      <c r="B190" s="102" t="s">
        <v>262</v>
      </c>
      <c r="C190" s="73" t="s">
        <v>7337</v>
      </c>
      <c r="D190" s="73"/>
      <c r="E190" s="73"/>
      <c r="F190" s="73"/>
      <c r="G190" s="73"/>
      <c r="H190" s="73"/>
      <c r="I190" s="73"/>
      <c r="J190" s="73"/>
      <c r="K190" s="73"/>
      <c r="L190" s="73"/>
      <c r="M190" s="74"/>
      <c r="N190" s="3"/>
      <c r="O190" s="39" t="s">
        <v>58</v>
      </c>
      <c r="P190" s="3"/>
      <c r="Q190" s="3"/>
      <c r="R190" s="3"/>
      <c r="S190" s="3"/>
      <c r="T190" s="3"/>
      <c r="U190" s="3"/>
      <c r="V190" s="98" t="str">
        <f>IF(C189="","",C189)</f>
        <v>Tumbler (Old Fashioned)</v>
      </c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H190" s="172" t="s">
        <v>264</v>
      </c>
      <c r="AI190" s="172"/>
      <c r="AJ190" s="165"/>
      <c r="AK190" s="172"/>
      <c r="AL190" s="165"/>
      <c r="AM190" s="165"/>
      <c r="AN190" s="165"/>
      <c r="AO190" s="172"/>
      <c r="AP190" s="165"/>
      <c r="AQ190" s="165"/>
      <c r="AR190" s="165"/>
    </row>
    <row r="191" spans="1:45" ht="24.95" customHeight="1">
      <c r="A191" s="712"/>
      <c r="B191" s="104" t="s">
        <v>267</v>
      </c>
      <c r="C191" s="105" t="s">
        <v>7277</v>
      </c>
      <c r="D191" s="73"/>
      <c r="E191" s="73"/>
      <c r="F191" s="73"/>
      <c r="G191" s="73"/>
      <c r="H191" s="73"/>
      <c r="I191" s="73"/>
      <c r="J191" s="73"/>
      <c r="K191" s="73"/>
      <c r="L191" s="73"/>
      <c r="M191" s="74"/>
      <c r="N191" s="3"/>
      <c r="O191" s="39" t="s">
        <v>79</v>
      </c>
      <c r="P191" s="3"/>
      <c r="Q191" s="3"/>
      <c r="R191" s="3"/>
      <c r="S191" s="3"/>
      <c r="T191" s="3"/>
      <c r="U191" s="3"/>
      <c r="V191" s="98" t="str">
        <f>IF(C190="","",C190)</f>
        <v>Doseur / jigger ; cuillère à mélange ; pince à glaçons</v>
      </c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H191" s="172" t="s">
        <v>269</v>
      </c>
      <c r="AI191" s="172"/>
      <c r="AJ191" s="173"/>
      <c r="AK191" s="173"/>
      <c r="AL191" s="165"/>
      <c r="AM191" s="165"/>
      <c r="AN191" s="165"/>
      <c r="AO191" s="165"/>
      <c r="AP191" s="165"/>
      <c r="AQ191" s="165"/>
      <c r="AR191" s="165"/>
    </row>
    <row r="192" spans="1:45" ht="24.95" customHeight="1">
      <c r="A192" s="712"/>
      <c r="N192" s="3"/>
      <c r="O192" s="39" t="s">
        <v>109</v>
      </c>
      <c r="P192" s="3"/>
      <c r="Q192" s="3"/>
      <c r="R192" s="3"/>
      <c r="S192" s="3"/>
      <c r="T192" s="3"/>
      <c r="U192" s="3"/>
      <c r="V192" s="98" t="str">
        <f>IF(C191="","",C191)</f>
        <v>https://iba-world.com/</v>
      </c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H192" s="168" t="s">
        <v>274</v>
      </c>
      <c r="AI192" s="165"/>
      <c r="AJ192" s="173"/>
      <c r="AK192" s="173"/>
      <c r="AL192" s="165"/>
      <c r="AM192" s="165"/>
      <c r="AN192" s="165"/>
      <c r="AO192" s="165"/>
      <c r="AP192" s="165"/>
      <c r="AQ192" s="165"/>
      <c r="AR192" s="165"/>
    </row>
    <row r="193" spans="1:45" ht="24.95" customHeight="1">
      <c r="A193" s="713"/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7" t="s">
        <v>272</v>
      </c>
      <c r="N193" s="3"/>
      <c r="O193" s="39" t="s">
        <v>326</v>
      </c>
      <c r="P193" s="3"/>
      <c r="Q193" s="3"/>
      <c r="R193" s="3"/>
      <c r="S193" s="3"/>
      <c r="T193" s="3"/>
      <c r="U193" s="3"/>
      <c r="V193" s="108" t="s">
        <v>277</v>
      </c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9" t="s">
        <v>277</v>
      </c>
      <c r="AH193" s="168" t="s">
        <v>278</v>
      </c>
      <c r="AI193" s="172"/>
      <c r="AJ193" s="173"/>
      <c r="AK193" s="173"/>
      <c r="AL193" s="165"/>
      <c r="AM193" s="165"/>
      <c r="AN193" s="165"/>
      <c r="AO193" s="165"/>
      <c r="AP193" s="165"/>
      <c r="AQ193" s="165"/>
      <c r="AR193" s="165"/>
    </row>
    <row r="194" spans="1:45" ht="24.95" customHeight="1">
      <c r="A194" s="715"/>
      <c r="B194" s="716"/>
      <c r="C194" s="716"/>
      <c r="D194" s="716"/>
      <c r="E194" s="716"/>
      <c r="F194" s="716"/>
      <c r="G194" s="716"/>
      <c r="H194" s="716"/>
      <c r="I194" s="716"/>
      <c r="J194" s="716"/>
      <c r="K194" s="716"/>
      <c r="L194" s="716"/>
      <c r="M194" s="716"/>
      <c r="N194" s="717"/>
      <c r="O194" s="39" t="s">
        <v>120</v>
      </c>
      <c r="P194" s="717"/>
      <c r="Q194" s="3"/>
      <c r="R194" s="3"/>
      <c r="S194" s="3"/>
      <c r="T194" s="3"/>
      <c r="U194" s="719"/>
      <c r="V194" s="761"/>
      <c r="W194" s="761"/>
      <c r="X194" s="761"/>
      <c r="Y194" s="720"/>
      <c r="Z194" s="721"/>
      <c r="AA194" s="721"/>
      <c r="AB194" s="721"/>
      <c r="AC194" s="721"/>
      <c r="AD194" s="721"/>
      <c r="AE194" s="721"/>
      <c r="AF194" s="721"/>
      <c r="AG194" s="719"/>
      <c r="AH194" s="718"/>
      <c r="AI194" s="718"/>
      <c r="AJ194" s="718"/>
      <c r="AK194" s="718"/>
      <c r="AL194" s="718"/>
      <c r="AM194" s="722"/>
      <c r="AN194" s="722"/>
      <c r="AO194" s="722"/>
      <c r="AP194" s="722"/>
      <c r="AQ194" s="722"/>
      <c r="AR194" s="722"/>
      <c r="AS194" s="722"/>
    </row>
    <row r="195" spans="1:45" ht="24.95" customHeight="1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9" t="s">
        <v>130</v>
      </c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24.95" customHeight="1">
      <c r="A196" s="149" t="s">
        <v>59</v>
      </c>
      <c r="B196" s="711" t="s">
        <v>60</v>
      </c>
      <c r="C196" s="711"/>
      <c r="D196" s="711"/>
      <c r="E196" s="711"/>
      <c r="F196" s="711"/>
      <c r="G196" s="711"/>
      <c r="H196" s="711"/>
      <c r="I196" s="711"/>
      <c r="J196" s="711"/>
      <c r="K196" s="711"/>
      <c r="L196" s="711"/>
      <c r="M196" s="711"/>
      <c r="N196" s="3"/>
      <c r="O196" s="39" t="s">
        <v>140</v>
      </c>
      <c r="P196" s="3"/>
      <c r="Q196" s="10" t="s">
        <v>61</v>
      </c>
      <c r="R196" s="10"/>
      <c r="S196" s="10"/>
      <c r="T196" s="10"/>
      <c r="V196" s="861" t="s">
        <v>62</v>
      </c>
      <c r="W196" s="861"/>
      <c r="X196" s="861"/>
      <c r="Y196" s="23" t="s">
        <v>63</v>
      </c>
      <c r="Z196" s="24"/>
      <c r="AA196" s="24"/>
      <c r="AB196" s="24"/>
      <c r="AC196" s="24"/>
      <c r="AD196" s="24"/>
      <c r="AE196" s="24"/>
      <c r="AF196" s="24"/>
      <c r="AH196" s="25" t="s">
        <v>64</v>
      </c>
      <c r="AI196" s="25"/>
      <c r="AJ196" s="25" t="s">
        <v>65</v>
      </c>
      <c r="AK196" s="25"/>
      <c r="AL196" s="25"/>
      <c r="AM196" s="26"/>
      <c r="AN196" s="26"/>
      <c r="AO196" s="26"/>
      <c r="AP196" s="26"/>
      <c r="AQ196" s="26"/>
      <c r="AR196" s="26"/>
      <c r="AS196" s="26"/>
    </row>
    <row r="197" spans="1:45" ht="24.95" customHeight="1">
      <c r="A197" s="712"/>
      <c r="B197" s="27" t="s">
        <v>67</v>
      </c>
      <c r="C197" s="28" t="s">
        <v>7338</v>
      </c>
      <c r="D197" s="28"/>
      <c r="E197" s="27" t="s">
        <v>69</v>
      </c>
      <c r="F197" s="29" t="s">
        <v>70</v>
      </c>
      <c r="G197" s="30"/>
      <c r="H197" s="27" t="s">
        <v>71</v>
      </c>
      <c r="I197" s="729" t="s">
        <v>7272</v>
      </c>
      <c r="J197" s="30"/>
      <c r="K197" s="27" t="s">
        <v>73</v>
      </c>
      <c r="L197" s="32" t="s">
        <v>7339</v>
      </c>
      <c r="M197" s="33"/>
      <c r="N197" s="3"/>
      <c r="O197" s="39" t="s">
        <v>331</v>
      </c>
      <c r="P197" s="3"/>
      <c r="Q197" s="14" t="s">
        <v>27</v>
      </c>
      <c r="R197" s="35">
        <v>20</v>
      </c>
      <c r="S197" s="15" t="s">
        <v>76</v>
      </c>
      <c r="T197" s="15"/>
      <c r="V197" s="831" t="s">
        <v>77</v>
      </c>
      <c r="W197" s="862" t="str">
        <f>C197</f>
        <v>PIÑA COLADA</v>
      </c>
      <c r="X197" s="862"/>
      <c r="Y197" s="862"/>
      <c r="Z197" s="36" t="s">
        <v>78</v>
      </c>
      <c r="AA197" s="24" t="str">
        <f>F197</f>
        <v>AVEC ALCOOL</v>
      </c>
      <c r="AB197" s="24"/>
      <c r="AC197" s="831" t="s">
        <v>71</v>
      </c>
      <c r="AD197" s="37" t="str">
        <f>I197</f>
        <v>ALL DAY</v>
      </c>
      <c r="AE197" s="831" t="s">
        <v>73</v>
      </c>
      <c r="AF197" s="24" t="str">
        <f>L197</f>
        <v>FROZEN / LONG DRINK</v>
      </c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24.95" customHeight="1">
      <c r="A198" s="712"/>
      <c r="B198" s="27" t="s">
        <v>80</v>
      </c>
      <c r="C198" s="38" t="s">
        <v>7340</v>
      </c>
      <c r="D198" s="30"/>
      <c r="E198" s="27" t="s">
        <v>82</v>
      </c>
      <c r="F198" s="39" t="s">
        <v>116</v>
      </c>
      <c r="G198" s="30"/>
      <c r="H198" s="27" t="s">
        <v>84</v>
      </c>
      <c r="I198" s="40">
        <v>1</v>
      </c>
      <c r="J198" s="41" t="s">
        <v>116</v>
      </c>
      <c r="K198" s="41"/>
      <c r="L198" s="42" t="s">
        <v>76</v>
      </c>
      <c r="M198" s="33"/>
      <c r="N198" s="3"/>
      <c r="O198" s="39" t="s">
        <v>333</v>
      </c>
      <c r="Q198" s="14" t="s">
        <v>31</v>
      </c>
      <c r="R198" s="35"/>
      <c r="S198" s="15" t="s">
        <v>86</v>
      </c>
      <c r="T198" s="15"/>
      <c r="V198" s="44" t="s">
        <v>87</v>
      </c>
      <c r="W198" s="150">
        <f>R202</f>
        <v>15.384615384615385</v>
      </c>
      <c r="X198" s="43" t="s">
        <v>88</v>
      </c>
      <c r="Y198" s="43"/>
      <c r="Z198" s="44" t="s">
        <v>89</v>
      </c>
      <c r="AA198" s="45">
        <f>R204</f>
        <v>1.5050000000000001</v>
      </c>
      <c r="AB198" s="46" t="s">
        <v>90</v>
      </c>
      <c r="AC198" s="44" t="s">
        <v>91</v>
      </c>
      <c r="AD198" s="45">
        <f>R199</f>
        <v>20</v>
      </c>
      <c r="AE198" s="47" t="s">
        <v>92</v>
      </c>
      <c r="AF198" s="43" t="str">
        <f>R206</f>
        <v>NOMBRE DE COCKTAILS</v>
      </c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24.95" customHeight="1">
      <c r="A199" s="712"/>
      <c r="B199" s="27" t="s">
        <v>94</v>
      </c>
      <c r="C199" s="151" t="s">
        <v>7341</v>
      </c>
      <c r="D199" s="30"/>
      <c r="E199" s="30"/>
      <c r="F199" s="30"/>
      <c r="G199" s="30"/>
      <c r="H199" s="27" t="s">
        <v>96</v>
      </c>
      <c r="I199" s="48">
        <v>13</v>
      </c>
      <c r="J199" s="730" t="s">
        <v>32</v>
      </c>
      <c r="K199" s="30"/>
      <c r="L199" s="30"/>
      <c r="M199" s="33"/>
      <c r="N199" s="3"/>
      <c r="O199" s="39" t="s">
        <v>334</v>
      </c>
      <c r="Q199" s="14" t="s">
        <v>98</v>
      </c>
      <c r="R199" s="49">
        <f>IF(AND(ISNUMBER(R198),R198&gt;0),IFERROR(R198*1000/R200,0),IF(AND(ISNUMBER(R197),R197&gt;0,ISNUMBER(I198),I198&gt;0),R197/I198,1))</f>
        <v>20</v>
      </c>
      <c r="S199" s="50" t="s">
        <v>99</v>
      </c>
      <c r="T199" s="50"/>
      <c r="V199" s="44" t="s">
        <v>100</v>
      </c>
      <c r="W199" s="51">
        <f>IF(R200="","",R200/10)</f>
        <v>13</v>
      </c>
      <c r="X199" s="46" t="s">
        <v>32</v>
      </c>
      <c r="Y199" s="43"/>
      <c r="Z199" s="44" t="s">
        <v>101</v>
      </c>
      <c r="AA199" s="45">
        <f>R201</f>
        <v>13</v>
      </c>
      <c r="AB199" s="46" t="s">
        <v>32</v>
      </c>
      <c r="AC199" s="44" t="s">
        <v>102</v>
      </c>
      <c r="AD199" s="45">
        <f>R205</f>
        <v>20</v>
      </c>
      <c r="AE199" s="51"/>
      <c r="AF199" s="4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24.95" customHeight="1">
      <c r="A200" s="712"/>
      <c r="B200" s="27"/>
      <c r="C200" s="52" t="str">
        <f>UPPER(LEFT(C197,1)) &amp; " . " &amp; UPPER(LEFT(C197,1)) &amp; LOWER(MID(C197,2,999)) &amp; " . " &amp; UPPER(LEFT(F197,1)) &amp; LOWER(MID(F197,2,999)) &amp; " . " &amp; UPPER(LEFT(I197,1)) &amp; LOWER(MID(I197,2,999)) &amp; " . " &amp; "Verre " &amp; UPPER(LEFT(F198,1)) &amp; LOWER(MID(F198,2,999)) &amp; IF(LEFT(L197,1)=UPPER(LEFT(L197,1)),".","") &amp; UPPER(LEFT(L197,1)) &amp; LOWER(MID(L197,2,999))&amp;"  couleur"&amp;" "&amp;C198&amp;"  intensité"&amp;" "&amp;C199</f>
        <v>P . Piña colada . Avec alcool . All day . Verre Hurricane.Frozen / long drink  couleur blanc crème  intensité *** doux fruité</v>
      </c>
      <c r="D200" s="52"/>
      <c r="E200" s="52"/>
      <c r="F200" s="52"/>
      <c r="G200" s="52"/>
      <c r="H200" s="52"/>
      <c r="I200" s="52"/>
      <c r="J200" s="52"/>
      <c r="K200" s="52"/>
      <c r="L200" s="30"/>
      <c r="M200" s="33"/>
      <c r="N200" s="3"/>
      <c r="O200" s="39" t="s">
        <v>336</v>
      </c>
      <c r="Q200" s="14" t="s">
        <v>105</v>
      </c>
      <c r="R200" s="49">
        <f>SUMIF(AJ207:AJ213,"VOLUME",AL207:AL213)</f>
        <v>130</v>
      </c>
      <c r="S200" s="50" t="s">
        <v>22</v>
      </c>
      <c r="T200" s="50"/>
      <c r="V200" s="44" t="s">
        <v>96</v>
      </c>
      <c r="W200" s="51">
        <f>I199</f>
        <v>13</v>
      </c>
      <c r="X200" s="46" t="str">
        <f>J199</f>
        <v>cl</v>
      </c>
      <c r="Y200" s="43"/>
      <c r="Z200" s="44" t="s">
        <v>82</v>
      </c>
      <c r="AA200" s="54" t="str">
        <f>F198</f>
        <v>Hurricane</v>
      </c>
      <c r="AB200" s="43"/>
      <c r="AC200" s="44" t="s">
        <v>106</v>
      </c>
      <c r="AD200" s="45">
        <f>R207</f>
        <v>50</v>
      </c>
      <c r="AE200" s="46" t="s">
        <v>32</v>
      </c>
      <c r="AF200" s="4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24.95" customHeight="1">
      <c r="A201" s="712"/>
      <c r="B201" s="27" t="s">
        <v>110</v>
      </c>
      <c r="C201" s="55" t="s">
        <v>7342</v>
      </c>
      <c r="D201" s="55"/>
      <c r="E201" s="154"/>
      <c r="F201" s="154"/>
      <c r="G201" s="154"/>
      <c r="H201" s="154"/>
      <c r="I201" s="154"/>
      <c r="J201" s="154"/>
      <c r="K201" s="154"/>
      <c r="L201" s="30"/>
      <c r="M201" s="33"/>
      <c r="N201" s="3"/>
      <c r="O201" s="39" t="s">
        <v>338</v>
      </c>
      <c r="Q201" s="14" t="s">
        <v>113</v>
      </c>
      <c r="R201" s="49">
        <f>IF(OR(R200=0,NOT(ISNUMBER(I198)),I198&lt;=0),"",R200/I198/10)</f>
        <v>13</v>
      </c>
      <c r="S201" s="50" t="s">
        <v>32</v>
      </c>
      <c r="T201" s="50"/>
      <c r="V201" s="44" t="s">
        <v>114</v>
      </c>
      <c r="W201" s="51" t="str">
        <f>IF(I199="","",IF(R207="","⚠ À CONTRÔLER",IF(I199&lt;=R207,"✔ OK","❌ DÉPASSE CAPACITÉ")))</f>
        <v>✔ OK</v>
      </c>
      <c r="X201" s="43"/>
      <c r="Y201" s="43"/>
      <c r="Z201" s="44"/>
      <c r="AA201" s="56"/>
      <c r="AB201" s="43"/>
      <c r="AC201" s="43"/>
      <c r="AD201" s="46"/>
      <c r="AE201" s="46"/>
      <c r="AF201" s="4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24.95" customHeight="1">
      <c r="A202" s="712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3"/>
      <c r="N202" s="3"/>
      <c r="O202" s="39" t="s">
        <v>339</v>
      </c>
      <c r="Q202" s="14" t="s">
        <v>118</v>
      </c>
      <c r="R202" s="155">
        <f>IF(AN214=0,"",SUM(AQ207:AQ213)/AN214*100)</f>
        <v>15.384615384615385</v>
      </c>
      <c r="S202" s="50" t="s">
        <v>88</v>
      </c>
      <c r="T202" s="50"/>
      <c r="V202" s="44" t="s">
        <v>110</v>
      </c>
      <c r="W202" s="46" t="str">
        <f>C201</f>
        <v>Cocktail tropical crémeux à base de rhum, ananas et coco</v>
      </c>
      <c r="X202" s="43"/>
      <c r="Y202" s="43"/>
      <c r="Z202" s="44"/>
      <c r="AA202" s="56"/>
      <c r="AB202" s="43"/>
      <c r="AC202" s="43"/>
      <c r="AD202" s="46"/>
      <c r="AE202" s="46"/>
      <c r="AF202" s="4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24.95" customHeight="1">
      <c r="A203" s="712"/>
      <c r="B203" s="57" t="s">
        <v>121</v>
      </c>
      <c r="C203" s="58" t="s">
        <v>7276</v>
      </c>
      <c r="D203" s="58"/>
      <c r="E203" s="59"/>
      <c r="F203" s="57" t="s">
        <v>123</v>
      </c>
      <c r="G203" s="58" t="s">
        <v>7277</v>
      </c>
      <c r="H203" s="60"/>
      <c r="I203" s="60"/>
      <c r="J203" s="61"/>
      <c r="K203" s="61"/>
      <c r="L203" s="61"/>
      <c r="M203" s="62"/>
      <c r="N203" s="3"/>
      <c r="O203" s="39" t="s">
        <v>340</v>
      </c>
      <c r="Q203" s="14" t="s">
        <v>126</v>
      </c>
      <c r="R203" s="156">
        <f>SUM(AR207:AR213)</f>
        <v>30.1</v>
      </c>
      <c r="S203" s="50" t="s">
        <v>90</v>
      </c>
      <c r="T203" s="50"/>
      <c r="V203" s="44" t="s">
        <v>121</v>
      </c>
      <c r="W203" s="46" t="str">
        <f>C203</f>
        <v>Référence classique — adaptation CFA</v>
      </c>
      <c r="X203" s="43"/>
      <c r="Y203" s="43"/>
      <c r="Z203" s="44" t="s">
        <v>94</v>
      </c>
      <c r="AA203" s="54" t="str">
        <f>C199</f>
        <v>*** doux fruité</v>
      </c>
      <c r="AB203" s="43"/>
      <c r="AC203" s="759" t="str">
        <f>UPPER(LEFT(C197,1))&amp;" . "&amp;UPPER(LEFT(C197,1))&amp;LOWER(MID(C197,2,999))&amp;" . "&amp;UPPER(LEFT(F197,1))&amp;LOWER(MID(F197,2,999))&amp;" . "&amp;UPPER(LEFT(I197,1))&amp;LOWER(MID(I197,2,999))&amp;" . "&amp;"Verre "&amp;UPPER(LEFT(F198,1))&amp;LOWER(MID(F198,2,999))&amp;IF(LEFT(L197,1)=UPPER(LEFT(L197,1)),".","")&amp;UPPER(LEFT(L197,1))&amp;LOWER(MID(L197,2,999))&amp;"  couleur "&amp;C198&amp;"  intensité "&amp;C199</f>
        <v>P . Piña colada . Avec alcool . All day . Verre Hurricane.Frozen / long drink  couleur blanc crème  intensité *** doux fruité</v>
      </c>
      <c r="AD203" s="759"/>
      <c r="AE203" s="759"/>
      <c r="AF203" s="759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24.95" customHeight="1">
      <c r="A204" s="712"/>
      <c r="B204" s="10" t="s">
        <v>131</v>
      </c>
      <c r="C204" s="10" t="s">
        <v>132</v>
      </c>
      <c r="D204" s="10"/>
      <c r="E204" s="10"/>
      <c r="F204" s="10"/>
      <c r="G204" s="10"/>
      <c r="H204" s="10"/>
      <c r="I204" s="10"/>
      <c r="J204" s="11" t="str">
        <f>IF(COUNTIF(C206:C212,"*~**")+COUNTIF(C206:C212,"*~?*")=0,"",IF(COUNTIF(C206:C212,"*~**")&gt;0,COUNTIF(C206:C212,"*~**")&amp;" allergène"&amp;IF(COUNTIF(C206:C212,"*~**")&gt;1,"s","")&amp;" repéré"&amp;IF(COUNTIF(C206:C212,"*~**")&gt;1,"s","")&amp;" par *","")&amp;IF(AND(COUNTIF(C206:C212,"*~**")&gt;0,COUNTIF(C206:C212,"*~?*")&gt;0)," | ","")&amp;IF(COUNTIF(C206:C212,"*~?*")&gt;0,COUNTIF(C206:C212,"*~?*")&amp;" produit"&amp;IF(COUNTIF(C206:C212,"*~?*")&gt;1,"s","")&amp;" à vérifier par ?",""))</f>
        <v/>
      </c>
      <c r="K204" s="10"/>
      <c r="L204" s="10"/>
      <c r="M204" s="63"/>
      <c r="N204" s="3"/>
      <c r="O204" s="39" t="s">
        <v>175</v>
      </c>
      <c r="Q204" s="14" t="s">
        <v>134</v>
      </c>
      <c r="R204" s="156">
        <f>IF(OR(R203="",R205="",R205=0),"",R203/R205)</f>
        <v>1.5050000000000001</v>
      </c>
      <c r="S204" s="50" t="s">
        <v>135</v>
      </c>
      <c r="T204" s="50"/>
      <c r="V204" s="852" t="s">
        <v>136</v>
      </c>
      <c r="W204" s="853">
        <f>R203</f>
        <v>30.1</v>
      </c>
      <c r="X204" s="854" t="s">
        <v>90</v>
      </c>
      <c r="Y204" s="43"/>
      <c r="Z204" s="44" t="s">
        <v>137</v>
      </c>
      <c r="AA204" s="54" t="str">
        <f>C197</f>
        <v>PIÑA COLADA</v>
      </c>
      <c r="AB204" s="43"/>
      <c r="AC204" s="759"/>
      <c r="AD204" s="759"/>
      <c r="AE204" s="759"/>
      <c r="AF204" s="759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24.95" customHeight="1">
      <c r="A205" s="712"/>
      <c r="B205" s="66">
        <v>0</v>
      </c>
      <c r="C205" s="64" t="s">
        <v>141</v>
      </c>
      <c r="D205" s="65" t="s">
        <v>142</v>
      </c>
      <c r="E205" s="64" t="s">
        <v>9</v>
      </c>
      <c r="F205" s="66" t="s">
        <v>143</v>
      </c>
      <c r="G205" s="66" t="s">
        <v>144</v>
      </c>
      <c r="H205" s="66" t="s">
        <v>145</v>
      </c>
      <c r="I205" s="67" t="s">
        <v>146</v>
      </c>
      <c r="J205" s="67" t="s">
        <v>847</v>
      </c>
      <c r="K205" s="67" t="s">
        <v>148</v>
      </c>
      <c r="L205" s="67" t="s">
        <v>149</v>
      </c>
      <c r="M205" s="68" t="s">
        <v>150</v>
      </c>
      <c r="N205" s="3"/>
      <c r="O205" s="39" t="s">
        <v>341</v>
      </c>
      <c r="Q205" s="14" t="s">
        <v>152</v>
      </c>
      <c r="R205" s="49">
        <f>IF(AND(ISNUMBER(R198),R198&gt;0,ISNUMBER(I199),I199&gt;0),R198*1000/(I199*10),IF(AND(ISNUMBER(R197),R197&gt;0),R197,""))</f>
        <v>20</v>
      </c>
      <c r="S205" s="50" t="s">
        <v>76</v>
      </c>
      <c r="T205" s="50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H205" s="25" t="s">
        <v>153</v>
      </c>
      <c r="AI205" s="25"/>
      <c r="AJ205" s="25" t="s">
        <v>490</v>
      </c>
      <c r="AK205" s="25"/>
      <c r="AL205" s="25"/>
      <c r="AM205" s="25"/>
      <c r="AN205" s="26"/>
      <c r="AO205" s="26"/>
      <c r="AP205" s="26"/>
      <c r="AQ205" s="26"/>
      <c r="AR205" s="26"/>
      <c r="AS205" s="26"/>
    </row>
    <row r="206" spans="1:45" ht="24.95" customHeight="1">
      <c r="A206" s="712"/>
      <c r="B206" s="731">
        <v>1</v>
      </c>
      <c r="C206" s="70" t="s">
        <v>805</v>
      </c>
      <c r="D206" s="79">
        <v>5</v>
      </c>
      <c r="E206" s="18" t="s">
        <v>32</v>
      </c>
      <c r="F206" s="72">
        <v>40</v>
      </c>
      <c r="G206" s="732">
        <v>0.95</v>
      </c>
      <c r="H206" s="733" t="s">
        <v>156</v>
      </c>
      <c r="I206" s="161">
        <v>18</v>
      </c>
      <c r="J206" s="73"/>
      <c r="K206" s="73"/>
      <c r="L206" s="73"/>
      <c r="M206" s="74"/>
      <c r="N206" s="3"/>
      <c r="O206" s="39" t="s">
        <v>344</v>
      </c>
      <c r="Q206" s="14" t="s">
        <v>158</v>
      </c>
      <c r="R206" s="75" t="str">
        <f>IF(AND(ISNUMBER(R198),R198&gt;0),"VOLUME TOTAL",IF(AND(ISNUMBER(R197),R197&gt;0),"NOMBRE DE COCKTAILS","RÉFÉRENCE"))</f>
        <v>NOMBRE DE COCKTAILS</v>
      </c>
      <c r="S206" s="50"/>
      <c r="T206" s="50"/>
      <c r="V206" s="831" t="s">
        <v>159</v>
      </c>
      <c r="W206" s="36" t="s">
        <v>160</v>
      </c>
      <c r="X206" s="76" t="s">
        <v>161</v>
      </c>
      <c r="Y206" s="835" t="s">
        <v>162</v>
      </c>
      <c r="Z206" s="838" t="s">
        <v>163</v>
      </c>
      <c r="AA206" s="36" t="s">
        <v>164</v>
      </c>
      <c r="AB206" s="36" t="s">
        <v>9</v>
      </c>
      <c r="AC206" s="841" t="s">
        <v>165</v>
      </c>
      <c r="AD206" s="296" t="s">
        <v>166</v>
      </c>
      <c r="AE206" s="36" t="s">
        <v>146</v>
      </c>
      <c r="AF206" s="833" t="s">
        <v>167</v>
      </c>
      <c r="AH206" s="77" t="s">
        <v>168</v>
      </c>
      <c r="AI206" s="78" t="s">
        <v>159</v>
      </c>
      <c r="AJ206" s="77" t="s">
        <v>10</v>
      </c>
      <c r="AK206" s="77" t="s">
        <v>169</v>
      </c>
      <c r="AL206" s="77" t="s">
        <v>170</v>
      </c>
      <c r="AM206" s="77" t="s">
        <v>91</v>
      </c>
      <c r="AN206" s="78" t="s">
        <v>161</v>
      </c>
      <c r="AO206" s="77" t="s">
        <v>171</v>
      </c>
      <c r="AP206" s="77" t="s">
        <v>172</v>
      </c>
      <c r="AQ206" s="77" t="s">
        <v>165</v>
      </c>
      <c r="AR206" s="77" t="s">
        <v>167</v>
      </c>
      <c r="AS206" s="77" t="s">
        <v>173</v>
      </c>
    </row>
    <row r="207" spans="1:45" ht="24.95" customHeight="1">
      <c r="A207" s="712"/>
      <c r="B207" s="734">
        <v>2</v>
      </c>
      <c r="C207" s="70" t="s">
        <v>7343</v>
      </c>
      <c r="D207" s="79">
        <v>5</v>
      </c>
      <c r="E207" s="18" t="s">
        <v>32</v>
      </c>
      <c r="F207" s="72">
        <v>0</v>
      </c>
      <c r="G207" s="732">
        <v>1.04</v>
      </c>
      <c r="H207" s="733" t="s">
        <v>156</v>
      </c>
      <c r="I207" s="161">
        <v>2.5</v>
      </c>
      <c r="J207" s="73"/>
      <c r="K207" s="73"/>
      <c r="L207" s="73"/>
      <c r="M207" s="74"/>
      <c r="N207" s="3"/>
      <c r="O207" s="39" t="s">
        <v>179</v>
      </c>
      <c r="Q207" s="14" t="s">
        <v>35</v>
      </c>
      <c r="R207" s="35">
        <f>IFERROR(VLOOKUP(F198,$BB$5:$BC$40,2,FALSE),"")</f>
        <v>50</v>
      </c>
      <c r="S207" s="50" t="s">
        <v>32</v>
      </c>
      <c r="T207" s="50"/>
      <c r="V207" s="846" t="str">
        <f t="shared" ref="V207:V213" si="110">IF(AI207="","",AI207)</f>
        <v>Rhum blanc</v>
      </c>
      <c r="W207" s="848" t="str">
        <f t="shared" ref="W207:W213" si="111">IF(C206="","",IF(H206="QS","QS",D206&amp;" "&amp;E206))</f>
        <v>5 cl</v>
      </c>
      <c r="X207" s="81">
        <f t="shared" ref="X207:X213" si="112">IF(AN207="","",AN207)</f>
        <v>1000</v>
      </c>
      <c r="Y207" s="836" t="str">
        <f t="shared" ref="Y207:Y213" si="113">IF(C206="","",IF(H206="QS","Qt. suffisante",IF(AN207="","",IF(AJ207="VOLUME",IF(AN207&gt;=1000,TEXT(AO207,"0.00")&amp;" "&amp;AP207,IF(AN207&gt;=10,TEXT(AO207,"0.0")&amp;" "&amp;AP207&amp;" ► "&amp;TEXT(AN207/1000,"0.000")&amp;" L",TEXT(AO207,"0.0")&amp;" "&amp;AP207)),IF(AJ207="MASSE",TEXT(AO207,"0.00")&amp;" "&amp;AP207,AO207&amp;" "&amp;AP207)))))</f>
        <v>1.00 L</v>
      </c>
      <c r="Z207" s="839" t="str">
        <f>IF(OR(C206="",AJ207&lt;&gt;"VOLUME",AN214=0),"","≈ "&amp;TEXT(ROUND(AN207/AN214*10*2,0)/2,"0.0")&amp;"/10")</f>
        <v>≈ 4.0/10</v>
      </c>
      <c r="AA207" s="82" t="str">
        <f t="shared" ref="AA207:AA213" si="114">IF(AJ207="AUTRE",AO207,"")</f>
        <v/>
      </c>
      <c r="AB207" s="83" t="str">
        <f t="shared" ref="AB207:AB213" si="115">IF(C206="","",AP207)</f>
        <v>L</v>
      </c>
      <c r="AC207" s="842">
        <f t="shared" ref="AC207:AC213" si="116">IF(C206="","",AQ207)</f>
        <v>400</v>
      </c>
      <c r="AD207" s="163">
        <f t="shared" ref="AD207:AD213" si="117">IF(C206="","",IF(ISNUMBER(F206),F206,0))</f>
        <v>40</v>
      </c>
      <c r="AE207" s="164">
        <f t="shared" ref="AE207:AE213" si="118">IF(C206="","",IF(ISNUMBER(I206),I206,""))</f>
        <v>18</v>
      </c>
      <c r="AF207" s="855">
        <f t="shared" ref="AF207:AF213" si="119">IF(C206="","",AR207)</f>
        <v>18</v>
      </c>
      <c r="AH207" s="84">
        <f t="shared" ref="AH207:AH213" si="120">IF(C206="","",B206)</f>
        <v>1</v>
      </c>
      <c r="AI207" s="85" t="str">
        <f t="shared" ref="AI207:AI213" si="121">IF(C206="","",C206)</f>
        <v>Rhum blanc</v>
      </c>
      <c r="AJ207" s="84" t="str">
        <f t="shared" ref="AJ207:AJ213" si="122">IF(C206="","",IFERROR(VLOOKUP(E206,$AU$5:$AY$121,2,FALSE),"UNITÉ ?"))</f>
        <v>VOLUME</v>
      </c>
      <c r="AK207" s="84">
        <f t="shared" ref="AK207:AK213" si="123">IF(C206="","",IFERROR(VLOOKUP(E206,$AU$5:$AY$121,3,FALSE),""))</f>
        <v>10</v>
      </c>
      <c r="AL207" s="84">
        <f t="shared" ref="AL207:AL213" si="124">IF(OR(C206="",H206="QS",NOT(ISNUMBER(D206))),"",D206*AK207)</f>
        <v>50</v>
      </c>
      <c r="AM207" s="84">
        <f>IF(C206="","",R199)</f>
        <v>20</v>
      </c>
      <c r="AN207" s="84">
        <f t="shared" ref="AN207:AN213" si="125">IF(C206="","",IF(H206="QS","",IF(AL207="","",IF(OR(H206="F",H206="FIXE"),AL207,AL207*AM207))))</f>
        <v>1000</v>
      </c>
      <c r="AO207" s="84">
        <f t="shared" ref="AO207:AO213" si="126">IF(C206="","",IF(H206="QS","",IF(AN207="","",IF(AJ207="VOLUME",IF(AN207&gt;=1000,ROUND(AN207/1000,2),IF(AN207&gt;=10,ROUND(AN207/10,1),ROUND(AN207,1))),IF(AJ207="MASSE",IF(AN207&gt;=1000,ROUND(AN207/1000,2),ROUND(AN207,0)),ROUND(AN207,2))))))</f>
        <v>1</v>
      </c>
      <c r="AP207" s="84" t="str">
        <f t="shared" ref="AP207:AP213" si="127">IF(C206="","",IF(H206="QS","",IF(AN207="","",IF(AJ207="VOLUME",IF(AN207&gt;=1000,"L",IF(AN207&gt;=10,"cl","ml")),IF(AJ207="MASSE",IF(AN207&gt;=1000,"Kg","g"),IFERROR(VLOOKUP(E206,$AU$5:$AY$121,5,FALSE),E206))))))</f>
        <v>L</v>
      </c>
      <c r="AQ207" s="84">
        <f t="shared" ref="AQ207:AQ213" si="128">IF(C206="","",IF(OR(AJ207&lt;&gt;"VOLUME",NOT(ISNUMBER(F206)),AN207=""),0,AN207*F206/100))</f>
        <v>400</v>
      </c>
      <c r="AR207" s="84">
        <f t="shared" ref="AR207:AR213" si="129">IF(C206="","",IF(H206="QS",0,IF(NOT(ISNUMBER(I206)),0,IF(OR(AJ207="VOLUME",AJ207="MASSE"),AN207/1000*I206,AN207*I206))))</f>
        <v>18</v>
      </c>
      <c r="AS207" s="84" t="str">
        <f t="shared" ref="AS207:AS213" si="130">IF(C206="","",IF(H206="QS","OK",IF(NOT(ISNUMBER(D206)),"QUANTITÉ ?",IF(E206="","UNITÉ ?",IF(AJ207="UNITÉ ?","UNITÉ ?",IF(AND(H206&lt;&gt;"",H206&lt;&gt;"PROP",H206&lt;&gt;"F",H206&lt;&gt;"FIXE",H206&lt;&gt;"QS"),"RÈGLE ?","OK"))))))</f>
        <v>OK</v>
      </c>
    </row>
    <row r="208" spans="1:45" ht="24.95" customHeight="1">
      <c r="A208" s="712"/>
      <c r="B208" s="731">
        <v>3</v>
      </c>
      <c r="C208" s="70" t="s">
        <v>1186</v>
      </c>
      <c r="D208" s="79">
        <v>3</v>
      </c>
      <c r="E208" s="18" t="s">
        <v>32</v>
      </c>
      <c r="F208" s="72">
        <v>0</v>
      </c>
      <c r="G208" s="732">
        <v>1.05</v>
      </c>
      <c r="H208" s="733" t="s">
        <v>156</v>
      </c>
      <c r="I208" s="161">
        <v>6</v>
      </c>
      <c r="J208" s="73"/>
      <c r="K208" s="73" t="s">
        <v>7344</v>
      </c>
      <c r="L208" s="73"/>
      <c r="M208" s="74"/>
      <c r="N208" s="3"/>
      <c r="O208" s="39" t="s">
        <v>349</v>
      </c>
      <c r="V208" s="846" t="str">
        <f t="shared" si="110"/>
        <v>Jus d'ananas</v>
      </c>
      <c r="W208" s="848" t="str">
        <f t="shared" si="111"/>
        <v>5 cl</v>
      </c>
      <c r="X208" s="81">
        <f t="shared" si="112"/>
        <v>1000</v>
      </c>
      <c r="Y208" s="836" t="str">
        <f t="shared" si="113"/>
        <v>1.00 L</v>
      </c>
      <c r="Z208" s="839" t="str">
        <f>IF(OR(C207="",AJ208&lt;&gt;"VOLUME",AN214=0),"","≈ "&amp;TEXT(ROUND(AN208/AN214*10*2,0)/2,"0.0")&amp;"/10")</f>
        <v>≈ 4.0/10</v>
      </c>
      <c r="AA208" s="82" t="str">
        <f t="shared" si="114"/>
        <v/>
      </c>
      <c r="AB208" s="83" t="str">
        <f t="shared" si="115"/>
        <v>L</v>
      </c>
      <c r="AC208" s="842">
        <f t="shared" si="116"/>
        <v>0</v>
      </c>
      <c r="AD208" s="163">
        <f t="shared" si="117"/>
        <v>0</v>
      </c>
      <c r="AE208" s="164">
        <f t="shared" si="118"/>
        <v>2.5</v>
      </c>
      <c r="AF208" s="855">
        <f t="shared" si="119"/>
        <v>2.5</v>
      </c>
      <c r="AH208" s="84">
        <f t="shared" si="120"/>
        <v>2</v>
      </c>
      <c r="AI208" s="85" t="str">
        <f t="shared" si="121"/>
        <v>Jus d'ananas</v>
      </c>
      <c r="AJ208" s="84" t="str">
        <f t="shared" si="122"/>
        <v>VOLUME</v>
      </c>
      <c r="AK208" s="84">
        <f t="shared" si="123"/>
        <v>10</v>
      </c>
      <c r="AL208" s="84">
        <f t="shared" si="124"/>
        <v>50</v>
      </c>
      <c r="AM208" s="84">
        <f>IF(C207="","",R199)</f>
        <v>20</v>
      </c>
      <c r="AN208" s="84">
        <f t="shared" si="125"/>
        <v>1000</v>
      </c>
      <c r="AO208" s="84">
        <f t="shared" si="126"/>
        <v>1</v>
      </c>
      <c r="AP208" s="84" t="str">
        <f t="shared" si="127"/>
        <v>L</v>
      </c>
      <c r="AQ208" s="84">
        <f t="shared" si="128"/>
        <v>0</v>
      </c>
      <c r="AR208" s="84">
        <f t="shared" si="129"/>
        <v>2.5</v>
      </c>
      <c r="AS208" s="84" t="str">
        <f t="shared" si="130"/>
        <v>OK</v>
      </c>
    </row>
    <row r="209" spans="1:45" ht="24.95" customHeight="1">
      <c r="A209" s="712"/>
      <c r="B209" s="734">
        <v>4</v>
      </c>
      <c r="C209" s="70" t="s">
        <v>7345</v>
      </c>
      <c r="D209" s="79">
        <v>1</v>
      </c>
      <c r="E209" s="53" t="s">
        <v>184</v>
      </c>
      <c r="F209" s="72"/>
      <c r="G209" s="732">
        <v>1</v>
      </c>
      <c r="H209" s="733" t="s">
        <v>156</v>
      </c>
      <c r="I209" s="161">
        <v>0.3</v>
      </c>
      <c r="J209" s="73"/>
      <c r="K209" s="73" t="s">
        <v>7314</v>
      </c>
      <c r="L209" s="73"/>
      <c r="M209" s="74"/>
      <c r="N209" s="3"/>
      <c r="O209" s="39" t="s">
        <v>342</v>
      </c>
      <c r="Q209" s="744" t="s">
        <v>566</v>
      </c>
      <c r="V209" s="846" t="str">
        <f t="shared" si="110"/>
        <v>Crème de coco</v>
      </c>
      <c r="W209" s="848" t="str">
        <f t="shared" si="111"/>
        <v>3 cl</v>
      </c>
      <c r="X209" s="81">
        <f t="shared" si="112"/>
        <v>600</v>
      </c>
      <c r="Y209" s="836" t="str">
        <f t="shared" si="113"/>
        <v>60.0 cl ► 0.600 L</v>
      </c>
      <c r="Z209" s="839" t="str">
        <f>IF(OR(C208="",AJ209&lt;&gt;"VOLUME",AN214=0),"","≈ "&amp;TEXT(ROUND(AN209/AN214*10*2,0)/2,"0.0")&amp;"/10")</f>
        <v>≈ 2.5/10</v>
      </c>
      <c r="AA209" s="82" t="str">
        <f t="shared" si="114"/>
        <v/>
      </c>
      <c r="AB209" s="83" t="str">
        <f t="shared" si="115"/>
        <v>cl</v>
      </c>
      <c r="AC209" s="842">
        <f t="shared" si="116"/>
        <v>0</v>
      </c>
      <c r="AD209" s="163">
        <f t="shared" si="117"/>
        <v>0</v>
      </c>
      <c r="AE209" s="164">
        <f t="shared" si="118"/>
        <v>6</v>
      </c>
      <c r="AF209" s="855">
        <f t="shared" si="119"/>
        <v>3.5999999999999996</v>
      </c>
      <c r="AH209" s="84">
        <f t="shared" si="120"/>
        <v>3</v>
      </c>
      <c r="AI209" s="85" t="str">
        <f t="shared" si="121"/>
        <v>Crème de coco</v>
      </c>
      <c r="AJ209" s="84" t="str">
        <f t="shared" si="122"/>
        <v>VOLUME</v>
      </c>
      <c r="AK209" s="84">
        <f t="shared" si="123"/>
        <v>10</v>
      </c>
      <c r="AL209" s="84">
        <f t="shared" si="124"/>
        <v>30</v>
      </c>
      <c r="AM209" s="84">
        <f>IF(C208="","",R199)</f>
        <v>20</v>
      </c>
      <c r="AN209" s="84">
        <f t="shared" si="125"/>
        <v>600</v>
      </c>
      <c r="AO209" s="84">
        <f t="shared" si="126"/>
        <v>60</v>
      </c>
      <c r="AP209" s="84" t="str">
        <f t="shared" si="127"/>
        <v>cl</v>
      </c>
      <c r="AQ209" s="84">
        <f t="shared" si="128"/>
        <v>0</v>
      </c>
      <c r="AR209" s="84">
        <f t="shared" si="129"/>
        <v>3.5999999999999996</v>
      </c>
      <c r="AS209" s="84" t="str">
        <f t="shared" si="130"/>
        <v>OK</v>
      </c>
    </row>
    <row r="210" spans="1:45" ht="24.95" customHeight="1">
      <c r="A210" s="712"/>
      <c r="B210" s="731">
        <v>5</v>
      </c>
      <c r="C210" s="70" t="s">
        <v>188</v>
      </c>
      <c r="D210" s="79"/>
      <c r="E210" s="53" t="s">
        <v>151</v>
      </c>
      <c r="F210" s="72"/>
      <c r="G210" s="732">
        <v>1</v>
      </c>
      <c r="H210" s="733" t="s">
        <v>151</v>
      </c>
      <c r="I210" s="161">
        <v>0</v>
      </c>
      <c r="J210" s="73"/>
      <c r="K210" s="73"/>
      <c r="L210" s="73"/>
      <c r="M210" s="74"/>
      <c r="N210" s="3"/>
      <c r="O210" s="39" t="s">
        <v>265</v>
      </c>
      <c r="Q210" s="744"/>
      <c r="V210" s="846" t="str">
        <f t="shared" si="110"/>
        <v>Tranche d'ananas</v>
      </c>
      <c r="W210" s="848" t="str">
        <f t="shared" si="111"/>
        <v>1 Tranche(s)</v>
      </c>
      <c r="X210" s="81">
        <f t="shared" si="112"/>
        <v>20</v>
      </c>
      <c r="Y210" s="836" t="str">
        <f t="shared" si="113"/>
        <v>20 tranche(s)</v>
      </c>
      <c r="Z210" s="839" t="str">
        <f>IF(OR(C209="",AJ210&lt;&gt;"VOLUME",AN214=0),"","≈ "&amp;TEXT(ROUND(AN210/AN214*10*2,0)/2,"0.0")&amp;"/10")</f>
        <v/>
      </c>
      <c r="AA210" s="82">
        <f t="shared" si="114"/>
        <v>20</v>
      </c>
      <c r="AB210" s="83" t="str">
        <f t="shared" si="115"/>
        <v>tranche(s)</v>
      </c>
      <c r="AC210" s="842">
        <f t="shared" si="116"/>
        <v>0</v>
      </c>
      <c r="AD210" s="163">
        <f t="shared" si="117"/>
        <v>0</v>
      </c>
      <c r="AE210" s="164">
        <f t="shared" si="118"/>
        <v>0.3</v>
      </c>
      <c r="AF210" s="855">
        <f t="shared" si="119"/>
        <v>6</v>
      </c>
      <c r="AH210" s="84">
        <f t="shared" si="120"/>
        <v>4</v>
      </c>
      <c r="AI210" s="85" t="str">
        <f t="shared" si="121"/>
        <v>Tranche d'ananas</v>
      </c>
      <c r="AJ210" s="84" t="str">
        <f t="shared" si="122"/>
        <v>AUTRE</v>
      </c>
      <c r="AK210" s="84">
        <f t="shared" si="123"/>
        <v>1</v>
      </c>
      <c r="AL210" s="84">
        <f t="shared" si="124"/>
        <v>1</v>
      </c>
      <c r="AM210" s="84">
        <f>IF(C209="","",R199)</f>
        <v>20</v>
      </c>
      <c r="AN210" s="84">
        <f t="shared" si="125"/>
        <v>20</v>
      </c>
      <c r="AO210" s="84">
        <f t="shared" si="126"/>
        <v>20</v>
      </c>
      <c r="AP210" s="84" t="str">
        <f t="shared" si="127"/>
        <v>tranche(s)</v>
      </c>
      <c r="AQ210" s="84">
        <f t="shared" si="128"/>
        <v>0</v>
      </c>
      <c r="AR210" s="84">
        <f t="shared" si="129"/>
        <v>6</v>
      </c>
      <c r="AS210" s="84" t="str">
        <f t="shared" si="130"/>
        <v>OK</v>
      </c>
    </row>
    <row r="211" spans="1:45" ht="24.95" customHeight="1">
      <c r="A211" s="712"/>
      <c r="B211" s="734"/>
      <c r="C211" s="70"/>
      <c r="D211" s="79"/>
      <c r="E211" s="3"/>
      <c r="F211" s="72"/>
      <c r="G211" s="732"/>
      <c r="H211" s="733"/>
      <c r="I211" s="161"/>
      <c r="J211" s="73"/>
      <c r="K211" s="73"/>
      <c r="L211" s="73"/>
      <c r="M211" s="74"/>
      <c r="N211" s="3"/>
      <c r="O211" s="39" t="s">
        <v>183</v>
      </c>
      <c r="V211" s="846" t="str">
        <f t="shared" si="110"/>
        <v>Glace</v>
      </c>
      <c r="W211" s="848" t="str">
        <f t="shared" si="111"/>
        <v>QS</v>
      </c>
      <c r="X211" s="81" t="str">
        <f t="shared" si="112"/>
        <v/>
      </c>
      <c r="Y211" s="836" t="str">
        <f t="shared" si="113"/>
        <v>Qt. suffisante</v>
      </c>
      <c r="Z211" s="839" t="str">
        <f>IF(OR(C210="",AJ211&lt;&gt;"VOLUME",AN214=0),"","≈ "&amp;TEXT(ROUND(AN211/AN214*10*2,0)/2,"0.0")&amp;"/10")</f>
        <v/>
      </c>
      <c r="AA211" s="80" t="str">
        <f t="shared" si="114"/>
        <v/>
      </c>
      <c r="AB211" s="83" t="str">
        <f t="shared" si="115"/>
        <v/>
      </c>
      <c r="AC211" s="842">
        <f t="shared" si="116"/>
        <v>0</v>
      </c>
      <c r="AD211" s="163">
        <f t="shared" si="117"/>
        <v>0</v>
      </c>
      <c r="AE211" s="164">
        <f t="shared" si="118"/>
        <v>0</v>
      </c>
      <c r="AF211" s="855">
        <f t="shared" si="119"/>
        <v>0</v>
      </c>
      <c r="AH211" s="84">
        <f t="shared" si="120"/>
        <v>5</v>
      </c>
      <c r="AI211" s="85" t="str">
        <f t="shared" si="121"/>
        <v>Glace</v>
      </c>
      <c r="AJ211" s="84" t="str">
        <f t="shared" si="122"/>
        <v>AUTRE</v>
      </c>
      <c r="AK211" s="84">
        <f t="shared" si="123"/>
        <v>1</v>
      </c>
      <c r="AL211" s="84" t="str">
        <f t="shared" si="124"/>
        <v/>
      </c>
      <c r="AM211" s="84">
        <f>IF(C210="","",R199)</f>
        <v>20</v>
      </c>
      <c r="AN211" s="84" t="str">
        <f t="shared" si="125"/>
        <v/>
      </c>
      <c r="AO211" s="84" t="str">
        <f t="shared" si="126"/>
        <v/>
      </c>
      <c r="AP211" s="84" t="str">
        <f t="shared" si="127"/>
        <v/>
      </c>
      <c r="AQ211" s="84">
        <f t="shared" si="128"/>
        <v>0</v>
      </c>
      <c r="AR211" s="84">
        <f t="shared" si="129"/>
        <v>0</v>
      </c>
      <c r="AS211" s="84" t="str">
        <f t="shared" si="130"/>
        <v>OK</v>
      </c>
    </row>
    <row r="212" spans="1:45" ht="24.95" customHeight="1">
      <c r="A212" s="712"/>
      <c r="B212" s="731"/>
      <c r="C212" s="70"/>
      <c r="D212" s="79"/>
      <c r="E212" s="3"/>
      <c r="F212" s="72"/>
      <c r="G212" s="732"/>
      <c r="H212" s="733"/>
      <c r="I212" s="161"/>
      <c r="J212" s="73"/>
      <c r="K212" s="73"/>
      <c r="L212" s="73"/>
      <c r="M212" s="74"/>
      <c r="N212" s="3"/>
      <c r="O212" s="39" t="s">
        <v>187</v>
      </c>
      <c r="Q212" s="355" t="s">
        <v>558</v>
      </c>
      <c r="V212" s="847" t="str">
        <f t="shared" si="110"/>
        <v/>
      </c>
      <c r="W212" s="849" t="str">
        <f t="shared" si="111"/>
        <v/>
      </c>
      <c r="X212" s="86" t="str">
        <f t="shared" si="112"/>
        <v/>
      </c>
      <c r="Y212" s="837" t="str">
        <f t="shared" si="113"/>
        <v/>
      </c>
      <c r="Z212" s="840" t="str">
        <f>IF(OR(C211="",AJ212&lt;&gt;"VOLUME",AN214=0),"","≈ "&amp;TEXT(ROUND(AN212/AN214*10*2,0)/2,"0.0")&amp;"/10")</f>
        <v/>
      </c>
      <c r="AA212" s="87" t="str">
        <f t="shared" si="114"/>
        <v/>
      </c>
      <c r="AB212" s="88" t="str">
        <f t="shared" si="115"/>
        <v/>
      </c>
      <c r="AC212" s="843" t="str">
        <f t="shared" si="116"/>
        <v/>
      </c>
      <c r="AD212" s="88" t="str">
        <f t="shared" si="117"/>
        <v/>
      </c>
      <c r="AE212" s="88" t="str">
        <f t="shared" si="118"/>
        <v/>
      </c>
      <c r="AF212" s="834" t="str">
        <f t="shared" si="119"/>
        <v/>
      </c>
      <c r="AH212" s="84" t="str">
        <f t="shared" si="120"/>
        <v/>
      </c>
      <c r="AI212" s="85" t="str">
        <f t="shared" si="121"/>
        <v/>
      </c>
      <c r="AJ212" s="84" t="str">
        <f t="shared" si="122"/>
        <v/>
      </c>
      <c r="AK212" s="84" t="str">
        <f t="shared" si="123"/>
        <v/>
      </c>
      <c r="AL212" s="84" t="str">
        <f t="shared" si="124"/>
        <v/>
      </c>
      <c r="AM212" s="84" t="str">
        <f>IF(C211="","",R199)</f>
        <v/>
      </c>
      <c r="AN212" s="84" t="str">
        <f t="shared" si="125"/>
        <v/>
      </c>
      <c r="AO212" s="84" t="str">
        <f t="shared" si="126"/>
        <v/>
      </c>
      <c r="AP212" s="84" t="str">
        <f t="shared" si="127"/>
        <v/>
      </c>
      <c r="AQ212" s="84" t="str">
        <f t="shared" si="128"/>
        <v/>
      </c>
      <c r="AR212" s="84" t="str">
        <f t="shared" si="129"/>
        <v/>
      </c>
      <c r="AS212" s="84" t="str">
        <f t="shared" si="130"/>
        <v/>
      </c>
    </row>
    <row r="213" spans="1:45" ht="24.95" customHeight="1">
      <c r="A213" s="712"/>
      <c r="B213" s="14" t="s">
        <v>44</v>
      </c>
      <c r="C213" s="146" t="s">
        <v>198</v>
      </c>
      <c r="D213" s="89"/>
      <c r="E213" s="89"/>
      <c r="F213" s="89"/>
      <c r="G213" s="89"/>
      <c r="H213" s="89"/>
      <c r="I213" s="89"/>
      <c r="J213" s="89"/>
      <c r="K213" s="89"/>
      <c r="L213" s="89"/>
      <c r="M213" s="90"/>
      <c r="N213" s="3"/>
      <c r="O213" s="39" t="s">
        <v>345</v>
      </c>
      <c r="Q213"/>
      <c r="V213" s="847" t="str">
        <f t="shared" si="110"/>
        <v/>
      </c>
      <c r="W213" s="849" t="str">
        <f t="shared" si="111"/>
        <v/>
      </c>
      <c r="X213" s="86" t="str">
        <f t="shared" si="112"/>
        <v/>
      </c>
      <c r="Y213" s="837" t="str">
        <f t="shared" si="113"/>
        <v/>
      </c>
      <c r="Z213" s="840" t="str">
        <f>IF(OR(C212="",AJ213&lt;&gt;"VOLUME",AN214=0),"","≈ "&amp;TEXT(ROUND(AN213/AN214*10*2,0)/2,"0.0")&amp;"/10")</f>
        <v/>
      </c>
      <c r="AA213" s="87" t="str">
        <f t="shared" si="114"/>
        <v/>
      </c>
      <c r="AB213" s="88" t="str">
        <f t="shared" si="115"/>
        <v/>
      </c>
      <c r="AC213" s="843" t="str">
        <f t="shared" si="116"/>
        <v/>
      </c>
      <c r="AD213" s="88" t="str">
        <f t="shared" si="117"/>
        <v/>
      </c>
      <c r="AE213" s="88" t="str">
        <f t="shared" si="118"/>
        <v/>
      </c>
      <c r="AF213" s="834" t="str">
        <f t="shared" si="119"/>
        <v/>
      </c>
      <c r="AH213" s="84" t="str">
        <f t="shared" si="120"/>
        <v/>
      </c>
      <c r="AI213" s="85" t="str">
        <f t="shared" si="121"/>
        <v/>
      </c>
      <c r="AJ213" s="84" t="str">
        <f t="shared" si="122"/>
        <v/>
      </c>
      <c r="AK213" s="84" t="str">
        <f t="shared" si="123"/>
        <v/>
      </c>
      <c r="AL213" s="84" t="str">
        <f t="shared" si="124"/>
        <v/>
      </c>
      <c r="AM213" s="84" t="str">
        <f>IF(C212="","",R199)</f>
        <v/>
      </c>
      <c r="AN213" s="84" t="str">
        <f t="shared" si="125"/>
        <v/>
      </c>
      <c r="AO213" s="84" t="str">
        <f t="shared" si="126"/>
        <v/>
      </c>
      <c r="AP213" s="84" t="str">
        <f t="shared" si="127"/>
        <v/>
      </c>
      <c r="AQ213" s="84" t="str">
        <f t="shared" si="128"/>
        <v/>
      </c>
      <c r="AR213" s="84" t="str">
        <f t="shared" si="129"/>
        <v/>
      </c>
      <c r="AS213" s="84" t="str">
        <f t="shared" si="130"/>
        <v/>
      </c>
    </row>
    <row r="214" spans="1:45" ht="24.95" customHeight="1">
      <c r="A214" s="712"/>
      <c r="B214" s="91">
        <v>0</v>
      </c>
      <c r="C214" s="10" t="s">
        <v>491</v>
      </c>
      <c r="D214" s="11"/>
      <c r="E214" s="11"/>
      <c r="F214" s="11"/>
      <c r="G214" s="11"/>
      <c r="H214" s="11"/>
      <c r="I214" s="11"/>
      <c r="J214" s="11"/>
      <c r="K214" s="11"/>
      <c r="L214" s="11"/>
      <c r="M214" s="92"/>
      <c r="N214" s="3"/>
      <c r="O214" s="39" t="s">
        <v>347</v>
      </c>
      <c r="Q214" s="29" t="s">
        <v>70</v>
      </c>
      <c r="V214" s="851" t="s">
        <v>203</v>
      </c>
      <c r="W214" s="93"/>
      <c r="X214" s="845">
        <f>AN214</f>
        <v>2600</v>
      </c>
      <c r="Y214" s="835" t="str">
        <f>IF(AN214=0,"",TEXT(AN214/1000,"0.000")&amp;" L")</f>
        <v>2.600 L</v>
      </c>
      <c r="Z214" s="857"/>
      <c r="AA214" s="93"/>
      <c r="AB214" s="93"/>
      <c r="AC214" s="832">
        <f>AQ214</f>
        <v>400</v>
      </c>
      <c r="AD214" s="844">
        <f>IF(AN214=0,"",AQ214/AN214*100)</f>
        <v>15.384615384615385</v>
      </c>
      <c r="AE214" s="93"/>
      <c r="AF214" s="856">
        <f>AR214</f>
        <v>30.1</v>
      </c>
      <c r="AH214" s="94" t="s">
        <v>203</v>
      </c>
      <c r="AI214" s="94"/>
      <c r="AJ214" s="94"/>
      <c r="AK214" s="94"/>
      <c r="AL214" s="94"/>
      <c r="AM214" s="94"/>
      <c r="AN214" s="94">
        <f>SUMIF(AJ207:AJ213,"VOLUME",AN207:AN213)</f>
        <v>2600</v>
      </c>
      <c r="AO214" s="94"/>
      <c r="AP214" s="94"/>
      <c r="AQ214" s="94">
        <f>SUM(AQ207:AQ213)</f>
        <v>400</v>
      </c>
      <c r="AR214" s="94">
        <f>SUM(AR207:AR213)</f>
        <v>30.1</v>
      </c>
      <c r="AS214" s="94" t="str">
        <f>IF(COUNTIF(AS207:AS213,"&lt;&gt;OK")-COUNTBLANK(AS207:AS213)=0,"OK","À CONTRÔLER")</f>
        <v>OK</v>
      </c>
    </row>
    <row r="215" spans="1:45" ht="24.95" customHeight="1">
      <c r="A215" s="712"/>
      <c r="B215" s="95">
        <v>1</v>
      </c>
      <c r="C215" s="96" t="s">
        <v>7346</v>
      </c>
      <c r="D215" s="96"/>
      <c r="E215" s="96"/>
      <c r="F215" s="96"/>
      <c r="G215" s="96"/>
      <c r="H215" s="96"/>
      <c r="I215" s="96"/>
      <c r="J215" s="96"/>
      <c r="K215" s="96"/>
      <c r="L215" s="96"/>
      <c r="M215" s="74"/>
      <c r="N215" s="3"/>
      <c r="O215" s="39" t="s">
        <v>191</v>
      </c>
      <c r="Q215" s="184"/>
      <c r="V215" s="832" t="s">
        <v>208</v>
      </c>
      <c r="W215" s="19" t="s">
        <v>209</v>
      </c>
      <c r="X215" s="36"/>
      <c r="Y215" s="858"/>
      <c r="Z215" s="859"/>
      <c r="AA215" s="97"/>
      <c r="AB215" s="97"/>
      <c r="AC215" s="97"/>
      <c r="AD215" s="97"/>
      <c r="AE215" s="97"/>
      <c r="AF215" s="860"/>
      <c r="AH215" s="3" t="s">
        <v>6994</v>
      </c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24.95" customHeight="1">
      <c r="A216" s="712"/>
      <c r="B216" s="95">
        <v>2</v>
      </c>
      <c r="C216" s="96" t="s">
        <v>7347</v>
      </c>
      <c r="D216" s="96"/>
      <c r="E216" s="96"/>
      <c r="F216" s="96"/>
      <c r="G216" s="96"/>
      <c r="H216" s="96"/>
      <c r="I216" s="96"/>
      <c r="J216" s="96"/>
      <c r="K216" s="96"/>
      <c r="L216" s="96"/>
      <c r="M216" s="74"/>
      <c r="N216" s="3"/>
      <c r="O216" s="39" t="s">
        <v>194</v>
      </c>
      <c r="P216" s="3"/>
      <c r="Q216" s="29" t="s">
        <v>584</v>
      </c>
      <c r="V216" s="98" t="str">
        <f t="shared" ref="V216:V223" si="131">IF(C215="","",C215)</f>
        <v>Préparer le Hurricane et le blender.</v>
      </c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H216" s="146" t="s">
        <v>214</v>
      </c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3"/>
    </row>
    <row r="217" spans="1:45" ht="24.95" customHeight="1">
      <c r="A217" s="712"/>
      <c r="B217" s="95">
        <v>3</v>
      </c>
      <c r="C217" s="96" t="s">
        <v>7305</v>
      </c>
      <c r="D217" s="96"/>
      <c r="E217" s="96"/>
      <c r="F217" s="96"/>
      <c r="G217" s="96"/>
      <c r="H217" s="96"/>
      <c r="I217" s="96"/>
      <c r="J217" s="96"/>
      <c r="K217" s="96"/>
      <c r="L217" s="96"/>
      <c r="M217" s="74"/>
      <c r="N217" s="3"/>
      <c r="O217" s="39" t="s">
        <v>350</v>
      </c>
      <c r="P217" s="3"/>
      <c r="Q217"/>
      <c r="R217" s="3"/>
      <c r="S217" s="3"/>
      <c r="T217" s="3"/>
      <c r="U217" s="3"/>
      <c r="V217" s="98" t="str">
        <f t="shared" si="131"/>
        <v>Verser le rhum, le jus d’ananas et la crème de coco.</v>
      </c>
      <c r="W217" s="98"/>
      <c r="X217" s="98"/>
      <c r="Y217" s="98"/>
      <c r="Z217" s="98"/>
      <c r="AA217" s="98"/>
      <c r="AB217" s="98"/>
      <c r="AC217" s="98"/>
      <c r="AD217" s="98"/>
      <c r="AE217" s="98"/>
      <c r="AF217" s="98"/>
      <c r="AH217" s="165" t="s">
        <v>219</v>
      </c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</row>
    <row r="218" spans="1:45" ht="24.95" customHeight="1">
      <c r="A218" s="712"/>
      <c r="B218" s="95">
        <v>4</v>
      </c>
      <c r="C218" s="96" t="s">
        <v>7348</v>
      </c>
      <c r="D218" s="96"/>
      <c r="E218" s="96"/>
      <c r="F218" s="96"/>
      <c r="G218" s="96"/>
      <c r="H218" s="96"/>
      <c r="I218" s="96"/>
      <c r="J218" s="96"/>
      <c r="K218" s="96"/>
      <c r="L218" s="96"/>
      <c r="M218" s="74"/>
      <c r="N218" s="3"/>
      <c r="O218" s="39" t="s">
        <v>363</v>
      </c>
      <c r="P218" s="3"/>
      <c r="Q218" s="356" t="s">
        <v>564</v>
      </c>
      <c r="R218" s="3"/>
      <c r="S218" s="3"/>
      <c r="T218" s="3"/>
      <c r="U218" s="3"/>
      <c r="V218" s="98" t="str">
        <f t="shared" si="131"/>
        <v>Ajouter la glace.</v>
      </c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H218" s="166" t="s">
        <v>222</v>
      </c>
      <c r="AI218" s="167" t="s">
        <v>223</v>
      </c>
      <c r="AJ218" s="165"/>
      <c r="AK218" s="167" t="s">
        <v>224</v>
      </c>
      <c r="AL218" s="165"/>
      <c r="AM218" s="165"/>
      <c r="AN218" s="165"/>
      <c r="AO218" s="167" t="s">
        <v>225</v>
      </c>
      <c r="AP218" s="165"/>
      <c r="AQ218" s="165"/>
      <c r="AR218" s="165"/>
    </row>
    <row r="219" spans="1:45" ht="24.95" customHeight="1">
      <c r="A219" s="712"/>
      <c r="B219" s="95">
        <v>5</v>
      </c>
      <c r="C219" s="96" t="s">
        <v>7349</v>
      </c>
      <c r="D219" s="96"/>
      <c r="E219" s="96"/>
      <c r="F219" s="96"/>
      <c r="G219" s="96"/>
      <c r="H219" s="96"/>
      <c r="I219" s="96"/>
      <c r="J219" s="96"/>
      <c r="K219" s="96"/>
      <c r="L219" s="96"/>
      <c r="M219" s="74"/>
      <c r="N219" s="3"/>
      <c r="O219" s="39" t="s">
        <v>366</v>
      </c>
      <c r="P219" s="3"/>
      <c r="Q219"/>
      <c r="R219" s="3"/>
      <c r="S219" s="3"/>
      <c r="T219" s="3"/>
      <c r="U219" s="3"/>
      <c r="V219" s="98" t="str">
        <f t="shared" si="131"/>
        <v>Mixer jusqu’à obtenir une texture homogène et froide.</v>
      </c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H219" s="750" t="s">
        <v>156</v>
      </c>
      <c r="AI219" s="748" t="s">
        <v>230</v>
      </c>
      <c r="AJ219" s="748"/>
      <c r="AK219" s="749" t="s">
        <v>231</v>
      </c>
      <c r="AL219" s="749"/>
      <c r="AM219" s="749"/>
      <c r="AN219" s="749"/>
      <c r="AO219" s="746" t="s">
        <v>232</v>
      </c>
      <c r="AP219" s="746"/>
      <c r="AQ219" s="746"/>
      <c r="AR219" s="746"/>
    </row>
    <row r="220" spans="1:45" ht="24.95" customHeight="1">
      <c r="A220" s="712"/>
      <c r="B220" s="95">
        <v>6</v>
      </c>
      <c r="C220" s="96" t="s">
        <v>7350</v>
      </c>
      <c r="D220" s="96"/>
      <c r="E220" s="96"/>
      <c r="F220" s="96"/>
      <c r="G220" s="96"/>
      <c r="H220" s="96"/>
      <c r="I220" s="96"/>
      <c r="J220" s="96"/>
      <c r="K220" s="96"/>
      <c r="L220" s="96"/>
      <c r="M220" s="74"/>
      <c r="N220" s="3"/>
      <c r="O220" s="39" t="s">
        <v>369</v>
      </c>
      <c r="P220" s="3"/>
      <c r="Q220" s="356" t="s">
        <v>72</v>
      </c>
      <c r="R220" s="3"/>
      <c r="S220" s="3"/>
      <c r="T220" s="3"/>
      <c r="U220" s="3"/>
      <c r="V220" s="98" t="str">
        <f t="shared" si="131"/>
        <v>Verser dans le Hurricane.</v>
      </c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H220" s="750"/>
      <c r="AI220" s="748"/>
      <c r="AJ220" s="748"/>
      <c r="AK220" s="749"/>
      <c r="AL220" s="749"/>
      <c r="AM220" s="749"/>
      <c r="AN220" s="749"/>
      <c r="AO220" s="746"/>
      <c r="AP220" s="746"/>
      <c r="AQ220" s="746"/>
      <c r="AR220" s="746"/>
    </row>
    <row r="221" spans="1:45" ht="24.95" customHeight="1">
      <c r="A221" s="712"/>
      <c r="B221" s="95">
        <v>7</v>
      </c>
      <c r="C221" s="96" t="s">
        <v>7351</v>
      </c>
      <c r="D221" s="96"/>
      <c r="E221" s="96"/>
      <c r="F221" s="96"/>
      <c r="G221" s="96"/>
      <c r="H221" s="96"/>
      <c r="I221" s="96"/>
      <c r="J221" s="96"/>
      <c r="K221" s="96"/>
      <c r="L221" s="96"/>
      <c r="M221" s="74"/>
      <c r="N221" s="3"/>
      <c r="O221" s="39" t="s">
        <v>362</v>
      </c>
      <c r="P221" s="3"/>
      <c r="Q221"/>
      <c r="R221" s="3"/>
      <c r="S221" s="3"/>
      <c r="T221" s="3"/>
      <c r="U221" s="3"/>
      <c r="V221" s="98" t="str">
        <f t="shared" si="131"/>
        <v>Ajuster la texture sans sur-diluer.</v>
      </c>
      <c r="W221" s="98"/>
      <c r="X221" s="98"/>
      <c r="Y221" s="98"/>
      <c r="Z221" s="98"/>
      <c r="AA221" s="98"/>
      <c r="AB221" s="98"/>
      <c r="AC221" s="98"/>
      <c r="AD221" s="98"/>
      <c r="AE221" s="98"/>
      <c r="AF221" s="98"/>
      <c r="AH221" s="747" t="s">
        <v>492</v>
      </c>
      <c r="AI221" s="748" t="s">
        <v>241</v>
      </c>
      <c r="AJ221" s="748"/>
      <c r="AK221" s="749" t="s">
        <v>242</v>
      </c>
      <c r="AL221" s="749"/>
      <c r="AM221" s="749"/>
      <c r="AN221" s="749"/>
      <c r="AO221" s="746" t="s">
        <v>243</v>
      </c>
      <c r="AP221" s="746"/>
      <c r="AQ221" s="746"/>
      <c r="AR221" s="746"/>
    </row>
    <row r="222" spans="1:45" ht="24.95" customHeight="1">
      <c r="A222" s="712"/>
      <c r="B222" s="95">
        <v>8</v>
      </c>
      <c r="C222" s="96" t="s">
        <v>7352</v>
      </c>
      <c r="D222" s="96"/>
      <c r="E222" s="96"/>
      <c r="F222" s="96"/>
      <c r="G222" s="96"/>
      <c r="H222" s="96"/>
      <c r="I222" s="96"/>
      <c r="J222" s="96"/>
      <c r="K222" s="96"/>
      <c r="L222" s="96"/>
      <c r="M222" s="74"/>
      <c r="N222" s="3"/>
      <c r="O222" s="39" t="s">
        <v>364</v>
      </c>
      <c r="P222" s="3"/>
      <c r="Q222" s="356" t="s">
        <v>602</v>
      </c>
      <c r="R222" s="3"/>
      <c r="S222" s="3"/>
      <c r="T222" s="3"/>
      <c r="U222" s="3"/>
      <c r="V222" s="98" t="str">
        <f t="shared" si="131"/>
        <v>Ajouter la tranche d’ananas.</v>
      </c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H222" s="747"/>
      <c r="AI222" s="748"/>
      <c r="AJ222" s="748"/>
      <c r="AK222" s="749"/>
      <c r="AL222" s="749"/>
      <c r="AM222" s="749"/>
      <c r="AN222" s="749"/>
      <c r="AO222" s="746"/>
      <c r="AP222" s="746"/>
      <c r="AQ222" s="746"/>
      <c r="AR222" s="746"/>
    </row>
    <row r="223" spans="1:45" ht="24.95" customHeight="1">
      <c r="A223" s="712"/>
      <c r="B223" s="101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90"/>
      <c r="N223" s="3"/>
      <c r="O223" s="39" t="s">
        <v>367</v>
      </c>
      <c r="P223" s="3"/>
      <c r="Q223" s="183"/>
      <c r="R223" s="3"/>
      <c r="S223" s="3"/>
      <c r="T223" s="3"/>
      <c r="U223" s="3"/>
      <c r="V223" s="98" t="str">
        <f t="shared" si="131"/>
        <v>Servir immédiatement avec une paille adaptée.</v>
      </c>
      <c r="W223" s="98"/>
      <c r="X223" s="98"/>
      <c r="Y223" s="98"/>
      <c r="Z223" s="98"/>
      <c r="AA223" s="98"/>
      <c r="AB223" s="98"/>
      <c r="AC223" s="98"/>
      <c r="AD223" s="98"/>
      <c r="AE223" s="98"/>
      <c r="AF223" s="98"/>
      <c r="AH223" s="750" t="s">
        <v>6993</v>
      </c>
      <c r="AI223" s="748" t="s">
        <v>252</v>
      </c>
      <c r="AJ223" s="748"/>
      <c r="AK223" s="749" t="s">
        <v>253</v>
      </c>
      <c r="AL223" s="749"/>
      <c r="AM223" s="749"/>
      <c r="AN223" s="749"/>
      <c r="AO223" s="746" t="s">
        <v>254</v>
      </c>
      <c r="AP223" s="746"/>
      <c r="AQ223" s="746"/>
      <c r="AR223" s="746"/>
    </row>
    <row r="224" spans="1:45" ht="24.95" customHeight="1">
      <c r="A224" s="712"/>
      <c r="B224" s="10" t="s">
        <v>258</v>
      </c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92"/>
      <c r="N224" s="3"/>
      <c r="O224" s="39" t="s">
        <v>352</v>
      </c>
      <c r="P224" s="3"/>
      <c r="Q224" s="356" t="s">
        <v>609</v>
      </c>
      <c r="R224" s="3"/>
      <c r="S224" s="3"/>
      <c r="T224" s="3"/>
      <c r="U224" s="3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H224" s="750"/>
      <c r="AI224" s="748"/>
      <c r="AJ224" s="748"/>
      <c r="AK224" s="749"/>
      <c r="AL224" s="749"/>
      <c r="AM224" s="749"/>
      <c r="AN224" s="749"/>
      <c r="AO224" s="746"/>
      <c r="AP224" s="746"/>
      <c r="AQ224" s="746"/>
      <c r="AR224" s="746"/>
    </row>
    <row r="225" spans="1:45" ht="24.95" customHeight="1">
      <c r="A225" s="712"/>
      <c r="B225" s="102" t="s">
        <v>259</v>
      </c>
      <c r="C225" s="73" t="s">
        <v>116</v>
      </c>
      <c r="D225" s="73"/>
      <c r="E225" s="73"/>
      <c r="F225" s="73"/>
      <c r="G225" s="73"/>
      <c r="H225" s="73"/>
      <c r="I225" s="73"/>
      <c r="J225" s="73"/>
      <c r="K225" s="73"/>
      <c r="L225" s="73"/>
      <c r="M225" s="74"/>
      <c r="N225" s="3"/>
      <c r="O225" s="39" t="s">
        <v>378</v>
      </c>
      <c r="P225" s="3"/>
      <c r="R225" s="3"/>
      <c r="S225" s="3"/>
      <c r="T225" s="3"/>
      <c r="U225" s="3"/>
      <c r="V225" s="103" t="s">
        <v>260</v>
      </c>
      <c r="W225" s="103" t="s">
        <v>209</v>
      </c>
      <c r="X225" s="103"/>
      <c r="Y225" s="103"/>
      <c r="Z225" s="103"/>
      <c r="AA225" s="103"/>
      <c r="AB225" s="103"/>
      <c r="AC225" s="103"/>
      <c r="AD225" s="103"/>
      <c r="AE225" s="103"/>
      <c r="AF225" s="103"/>
      <c r="AH225" s="171" t="s">
        <v>261</v>
      </c>
      <c r="AI225" s="172"/>
      <c r="AJ225" s="165"/>
      <c r="AK225" s="165"/>
      <c r="AL225" s="165"/>
      <c r="AM225" s="165"/>
      <c r="AN225" s="165"/>
      <c r="AO225" s="165"/>
      <c r="AP225" s="165"/>
      <c r="AQ225" s="165"/>
      <c r="AR225" s="165"/>
    </row>
    <row r="226" spans="1:45" ht="24.95" customHeight="1">
      <c r="A226" s="712"/>
      <c r="B226" s="102" t="s">
        <v>262</v>
      </c>
      <c r="C226" s="73" t="s">
        <v>7353</v>
      </c>
      <c r="D226" s="73"/>
      <c r="E226" s="73"/>
      <c r="F226" s="73"/>
      <c r="G226" s="73"/>
      <c r="H226" s="73"/>
      <c r="I226" s="73"/>
      <c r="J226" s="73"/>
      <c r="K226" s="73"/>
      <c r="L226" s="73"/>
      <c r="M226" s="74"/>
      <c r="N226" s="3"/>
      <c r="O226" s="39" t="s">
        <v>249</v>
      </c>
      <c r="P226" s="3"/>
      <c r="Q226" s="3"/>
      <c r="R226" s="3"/>
      <c r="S226" s="3"/>
      <c r="T226" s="3"/>
      <c r="U226" s="3"/>
      <c r="V226" s="98" t="str">
        <f>IF(C225="","",C225)</f>
        <v>Hurricane</v>
      </c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H226" s="172" t="s">
        <v>264</v>
      </c>
      <c r="AI226" s="172"/>
      <c r="AJ226" s="165"/>
      <c r="AK226" s="172"/>
      <c r="AL226" s="165"/>
      <c r="AM226" s="165"/>
      <c r="AN226" s="165"/>
      <c r="AO226" s="172"/>
      <c r="AP226" s="165"/>
      <c r="AQ226" s="165"/>
      <c r="AR226" s="165"/>
    </row>
    <row r="227" spans="1:45" ht="24.95" customHeight="1">
      <c r="A227" s="712"/>
      <c r="B227" s="104" t="s">
        <v>267</v>
      </c>
      <c r="C227" s="105" t="s">
        <v>7277</v>
      </c>
      <c r="D227" s="73"/>
      <c r="E227" s="73"/>
      <c r="F227" s="73"/>
      <c r="G227" s="73"/>
      <c r="H227" s="73"/>
      <c r="I227" s="73"/>
      <c r="J227" s="73"/>
      <c r="K227" s="73"/>
      <c r="L227" s="73"/>
      <c r="M227" s="74"/>
      <c r="N227" s="3"/>
      <c r="O227" s="39" t="s">
        <v>380</v>
      </c>
      <c r="P227" s="3"/>
      <c r="Q227" s="3"/>
      <c r="R227" s="3"/>
      <c r="S227" s="3"/>
      <c r="T227" s="3"/>
      <c r="U227" s="3"/>
      <c r="V227" s="98" t="str">
        <f>IF(C226="","",C226)</f>
        <v>Doseur / jigger ; blender ; pince à glaçons</v>
      </c>
      <c r="W227" s="98"/>
      <c r="X227" s="98"/>
      <c r="Y227" s="98"/>
      <c r="Z227" s="98"/>
      <c r="AA227" s="98"/>
      <c r="AB227" s="98"/>
      <c r="AC227" s="98"/>
      <c r="AD227" s="98"/>
      <c r="AE227" s="98"/>
      <c r="AF227" s="98"/>
      <c r="AH227" s="172" t="s">
        <v>269</v>
      </c>
      <c r="AI227" s="172"/>
      <c r="AJ227" s="173"/>
      <c r="AK227" s="173"/>
      <c r="AL227" s="165"/>
      <c r="AM227" s="165"/>
      <c r="AN227" s="165"/>
      <c r="AO227" s="165"/>
      <c r="AP227" s="165"/>
      <c r="AQ227" s="165"/>
      <c r="AR227" s="165"/>
    </row>
    <row r="228" spans="1:45" ht="24.95" customHeight="1">
      <c r="A228" s="712"/>
      <c r="N228" s="3"/>
      <c r="O228" s="39" t="s">
        <v>382</v>
      </c>
      <c r="P228" s="3"/>
      <c r="Q228" s="3"/>
      <c r="R228" s="3"/>
      <c r="S228" s="3"/>
      <c r="T228" s="3"/>
      <c r="U228" s="3"/>
      <c r="V228" s="98" t="str">
        <f>IF(C227="","",C227)</f>
        <v>https://iba-world.com/</v>
      </c>
      <c r="W228" s="98"/>
      <c r="X228" s="98"/>
      <c r="Y228" s="98"/>
      <c r="Z228" s="98"/>
      <c r="AA228" s="98"/>
      <c r="AB228" s="98"/>
      <c r="AC228" s="98"/>
      <c r="AD228" s="98"/>
      <c r="AE228" s="98"/>
      <c r="AF228" s="98"/>
      <c r="AH228" s="168" t="s">
        <v>274</v>
      </c>
      <c r="AI228" s="165"/>
      <c r="AJ228" s="173"/>
      <c r="AK228" s="173"/>
      <c r="AL228" s="165"/>
      <c r="AM228" s="165"/>
      <c r="AN228" s="165"/>
      <c r="AO228" s="165"/>
      <c r="AP228" s="165"/>
      <c r="AQ228" s="165"/>
      <c r="AR228" s="165"/>
    </row>
    <row r="229" spans="1:45" ht="24.95" customHeight="1">
      <c r="A229" s="713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7" t="s">
        <v>272</v>
      </c>
      <c r="N229" s="3"/>
      <c r="O229" s="39" t="s">
        <v>353</v>
      </c>
      <c r="P229" s="3"/>
      <c r="Q229" s="3"/>
      <c r="R229" s="3"/>
      <c r="S229" s="3"/>
      <c r="T229" s="3"/>
      <c r="U229" s="3"/>
      <c r="V229" s="108" t="s">
        <v>277</v>
      </c>
      <c r="W229" s="108"/>
      <c r="X229" s="108"/>
      <c r="Y229" s="108"/>
      <c r="Z229" s="108"/>
      <c r="AA229" s="108"/>
      <c r="AB229" s="108"/>
      <c r="AC229" s="108"/>
      <c r="AD229" s="108"/>
      <c r="AE229" s="108"/>
      <c r="AF229" s="109" t="s">
        <v>277</v>
      </c>
      <c r="AH229" s="168" t="s">
        <v>278</v>
      </c>
      <c r="AI229" s="172"/>
      <c r="AJ229" s="173"/>
      <c r="AK229" s="173"/>
      <c r="AL229" s="165"/>
      <c r="AM229" s="165"/>
      <c r="AN229" s="165"/>
      <c r="AO229" s="165"/>
      <c r="AP229" s="165"/>
      <c r="AQ229" s="165"/>
      <c r="AR229" s="165"/>
    </row>
    <row r="230" spans="1:45" ht="24.95" customHeight="1">
      <c r="A230" s="715"/>
      <c r="B230" s="716"/>
      <c r="C230" s="716"/>
      <c r="D230" s="716"/>
      <c r="E230" s="716"/>
      <c r="F230" s="716"/>
      <c r="G230" s="716"/>
      <c r="H230" s="716"/>
      <c r="I230" s="716"/>
      <c r="J230" s="716"/>
      <c r="K230" s="716"/>
      <c r="L230" s="716"/>
      <c r="M230" s="716"/>
      <c r="N230" s="717"/>
      <c r="O230" s="39" t="s">
        <v>201</v>
      </c>
      <c r="P230" s="717"/>
      <c r="Q230" s="3"/>
      <c r="R230" s="3"/>
      <c r="S230" s="3"/>
      <c r="T230" s="3"/>
      <c r="U230" s="719"/>
      <c r="V230" s="761"/>
      <c r="W230" s="761"/>
      <c r="X230" s="761"/>
      <c r="Y230" s="720"/>
      <c r="Z230" s="721"/>
      <c r="AA230" s="721"/>
      <c r="AB230" s="721"/>
      <c r="AC230" s="721"/>
      <c r="AD230" s="721"/>
      <c r="AE230" s="721"/>
      <c r="AF230" s="721"/>
      <c r="AG230" s="719"/>
      <c r="AH230" s="718"/>
      <c r="AI230" s="718"/>
      <c r="AJ230" s="718"/>
      <c r="AK230" s="718"/>
      <c r="AL230" s="718"/>
      <c r="AM230" s="722"/>
      <c r="AN230" s="722"/>
      <c r="AO230" s="722"/>
      <c r="AP230" s="722"/>
      <c r="AQ230" s="722"/>
      <c r="AR230" s="722"/>
      <c r="AS230" s="722"/>
    </row>
    <row r="231" spans="1:45" ht="24.95" customHeight="1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9" t="s">
        <v>370</v>
      </c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24.95" customHeight="1">
      <c r="A232" s="149" t="s">
        <v>59</v>
      </c>
      <c r="B232" s="711" t="s">
        <v>60</v>
      </c>
      <c r="C232" s="711"/>
      <c r="D232" s="711"/>
      <c r="E232" s="711"/>
      <c r="F232" s="711"/>
      <c r="G232" s="711"/>
      <c r="H232" s="711"/>
      <c r="I232" s="711"/>
      <c r="J232" s="711"/>
      <c r="K232" s="711"/>
      <c r="L232" s="711"/>
      <c r="M232" s="711"/>
      <c r="N232" s="3"/>
      <c r="O232" s="39" t="s">
        <v>205</v>
      </c>
      <c r="P232" s="3"/>
      <c r="Q232" s="10" t="s">
        <v>61</v>
      </c>
      <c r="R232" s="10"/>
      <c r="S232" s="10"/>
      <c r="T232" s="10"/>
      <c r="V232" s="861" t="s">
        <v>62</v>
      </c>
      <c r="W232" s="861"/>
      <c r="X232" s="861"/>
      <c r="Y232" s="23" t="s">
        <v>63</v>
      </c>
      <c r="Z232" s="24"/>
      <c r="AA232" s="24"/>
      <c r="AB232" s="24"/>
      <c r="AC232" s="24"/>
      <c r="AD232" s="24"/>
      <c r="AE232" s="24"/>
      <c r="AF232" s="24"/>
      <c r="AH232" s="25" t="s">
        <v>64</v>
      </c>
      <c r="AI232" s="25"/>
      <c r="AJ232" s="25" t="s">
        <v>65</v>
      </c>
      <c r="AK232" s="25"/>
      <c r="AL232" s="25"/>
      <c r="AM232" s="26"/>
      <c r="AN232" s="26"/>
      <c r="AO232" s="26"/>
      <c r="AP232" s="26"/>
      <c r="AQ232" s="26"/>
      <c r="AR232" s="26"/>
      <c r="AS232" s="26"/>
    </row>
    <row r="233" spans="1:45" ht="24.95" customHeight="1">
      <c r="A233" s="712"/>
      <c r="B233" s="27" t="s">
        <v>67</v>
      </c>
      <c r="C233" s="28" t="s">
        <v>7354</v>
      </c>
      <c r="D233" s="28"/>
      <c r="E233" s="27" t="s">
        <v>69</v>
      </c>
      <c r="F233" s="29" t="s">
        <v>70</v>
      </c>
      <c r="G233" s="30"/>
      <c r="H233" s="27" t="s">
        <v>71</v>
      </c>
      <c r="I233" s="729" t="s">
        <v>7272</v>
      </c>
      <c r="J233" s="30"/>
      <c r="K233" s="27" t="s">
        <v>73</v>
      </c>
      <c r="L233" s="32" t="s">
        <v>74</v>
      </c>
      <c r="M233" s="33"/>
      <c r="N233" s="3"/>
      <c r="O233" s="39" t="s">
        <v>388</v>
      </c>
      <c r="P233" s="3"/>
      <c r="Q233" s="14" t="s">
        <v>27</v>
      </c>
      <c r="R233" s="35">
        <v>22</v>
      </c>
      <c r="S233" s="15" t="s">
        <v>76</v>
      </c>
      <c r="T233" s="15"/>
      <c r="V233" s="831" t="s">
        <v>77</v>
      </c>
      <c r="W233" s="862" t="str">
        <f>C233</f>
        <v>MOSCOW MULE</v>
      </c>
      <c r="X233" s="862"/>
      <c r="Y233" s="862"/>
      <c r="Z233" s="36" t="s">
        <v>78</v>
      </c>
      <c r="AA233" s="24" t="str">
        <f>F233</f>
        <v>AVEC ALCOOL</v>
      </c>
      <c r="AB233" s="24"/>
      <c r="AC233" s="831" t="s">
        <v>71</v>
      </c>
      <c r="AD233" s="37" t="str">
        <f>I233</f>
        <v>ALL DAY</v>
      </c>
      <c r="AE233" s="831" t="s">
        <v>73</v>
      </c>
      <c r="AF233" s="24" t="str">
        <f>L233</f>
        <v>ON THE ROCKS</v>
      </c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24.95" customHeight="1">
      <c r="A234" s="712"/>
      <c r="B234" s="27" t="s">
        <v>80</v>
      </c>
      <c r="C234" s="38" t="s">
        <v>7355</v>
      </c>
      <c r="D234" s="30"/>
      <c r="E234" s="27" t="s">
        <v>82</v>
      </c>
      <c r="F234" s="39" t="s">
        <v>33</v>
      </c>
      <c r="G234" s="30"/>
      <c r="H234" s="27" t="s">
        <v>84</v>
      </c>
      <c r="I234" s="40">
        <v>1</v>
      </c>
      <c r="J234" s="41" t="s">
        <v>33</v>
      </c>
      <c r="K234" s="41"/>
      <c r="L234" s="42" t="s">
        <v>76</v>
      </c>
      <c r="M234" s="33"/>
      <c r="N234" s="3"/>
      <c r="O234" s="39" t="s">
        <v>390</v>
      </c>
      <c r="Q234" s="14" t="s">
        <v>31</v>
      </c>
      <c r="R234" s="35"/>
      <c r="S234" s="15" t="s">
        <v>86</v>
      </c>
      <c r="T234" s="15"/>
      <c r="V234" s="44" t="s">
        <v>87</v>
      </c>
      <c r="W234" s="150">
        <f>R238</f>
        <v>10.285714285714285</v>
      </c>
      <c r="X234" s="43" t="s">
        <v>88</v>
      </c>
      <c r="Y234" s="43"/>
      <c r="Z234" s="44" t="s">
        <v>89</v>
      </c>
      <c r="AA234" s="45">
        <f>R240</f>
        <v>1.3</v>
      </c>
      <c r="AB234" s="46" t="s">
        <v>90</v>
      </c>
      <c r="AC234" s="44" t="s">
        <v>91</v>
      </c>
      <c r="AD234" s="45">
        <f>R235</f>
        <v>22</v>
      </c>
      <c r="AE234" s="47" t="s">
        <v>92</v>
      </c>
      <c r="AF234" s="43" t="str">
        <f>R242</f>
        <v>NOMBRE DE COCKTAILS</v>
      </c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24.95" customHeight="1">
      <c r="A235" s="712"/>
      <c r="B235" s="27" t="s">
        <v>94</v>
      </c>
      <c r="C235" s="151" t="s">
        <v>7356</v>
      </c>
      <c r="D235" s="30"/>
      <c r="E235" s="30"/>
      <c r="F235" s="30"/>
      <c r="G235" s="30"/>
      <c r="H235" s="27" t="s">
        <v>96</v>
      </c>
      <c r="I235" s="48">
        <v>17.5</v>
      </c>
      <c r="J235" s="730" t="s">
        <v>32</v>
      </c>
      <c r="K235" s="30"/>
      <c r="L235" s="30"/>
      <c r="M235" s="33"/>
      <c r="N235" s="3"/>
      <c r="O235" s="39" t="s">
        <v>125</v>
      </c>
      <c r="Q235" s="14" t="s">
        <v>98</v>
      </c>
      <c r="R235" s="49">
        <f>IF(AND(ISNUMBER(R234),R234&gt;0),IFERROR(R234*1000/R236,0),IF(AND(ISNUMBER(R233),R233&gt;0,ISNUMBER(I234),I234&gt;0),R233/I234,1))</f>
        <v>22</v>
      </c>
      <c r="S235" s="50" t="s">
        <v>99</v>
      </c>
      <c r="T235" s="50"/>
      <c r="V235" s="44" t="s">
        <v>100</v>
      </c>
      <c r="W235" s="51">
        <f>IF(R236="","",R236/10)</f>
        <v>17.5</v>
      </c>
      <c r="X235" s="46" t="s">
        <v>32</v>
      </c>
      <c r="Y235" s="43"/>
      <c r="Z235" s="44" t="s">
        <v>101</v>
      </c>
      <c r="AA235" s="45">
        <f>R237</f>
        <v>17.5</v>
      </c>
      <c r="AB235" s="46" t="s">
        <v>32</v>
      </c>
      <c r="AC235" s="44" t="s">
        <v>102</v>
      </c>
      <c r="AD235" s="45">
        <f>R241</f>
        <v>22</v>
      </c>
      <c r="AE235" s="51"/>
      <c r="AF235" s="4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24.95" customHeight="1">
      <c r="A236" s="712"/>
      <c r="B236" s="27"/>
      <c r="C236" s="52" t="str">
        <f>UPPER(LEFT(C233,1)) &amp; " . " &amp; UPPER(LEFT(C233,1)) &amp; LOWER(MID(C233,2,999)) &amp; " . " &amp; UPPER(LEFT(F233,1)) &amp; LOWER(MID(F233,2,999)) &amp; " . " &amp; UPPER(LEFT(I233,1)) &amp; LOWER(MID(I233,2,999)) &amp; " . " &amp; "Verre " &amp; UPPER(LEFT(F234,1)) &amp; LOWER(MID(F234,2,999)) &amp; IF(LEFT(L233,1)=UPPER(LEFT(L233,1)),".","") &amp; UPPER(LEFT(L233,1)) &amp; LOWER(MID(L233,2,999))&amp;"  couleur"&amp;" "&amp;C234&amp;"  intensité"&amp;" "&amp;C235</f>
        <v>M . Moscow mule . Avec alcool . All day . Verre Copper mug.On the rocks  couleur jaune pâle translucide  intensité *** frais épicé</v>
      </c>
      <c r="D236" s="52"/>
      <c r="E236" s="52"/>
      <c r="F236" s="52"/>
      <c r="G236" s="52"/>
      <c r="H236" s="52"/>
      <c r="I236" s="52"/>
      <c r="J236" s="52"/>
      <c r="K236" s="52"/>
      <c r="L236" s="30"/>
      <c r="M236" s="33"/>
      <c r="N236" s="3"/>
      <c r="O236" s="39" t="s">
        <v>211</v>
      </c>
      <c r="Q236" s="14" t="s">
        <v>105</v>
      </c>
      <c r="R236" s="49">
        <f>SUMIF(AJ243:AJ249,"VOLUME",AL243:AL249)</f>
        <v>175</v>
      </c>
      <c r="S236" s="50" t="s">
        <v>22</v>
      </c>
      <c r="T236" s="50"/>
      <c r="V236" s="44" t="s">
        <v>96</v>
      </c>
      <c r="W236" s="51">
        <f>I235</f>
        <v>17.5</v>
      </c>
      <c r="X236" s="46" t="str">
        <f>J235</f>
        <v>cl</v>
      </c>
      <c r="Y236" s="43"/>
      <c r="Z236" s="44" t="s">
        <v>82</v>
      </c>
      <c r="AA236" s="54" t="str">
        <f>F234</f>
        <v>Copper Mug</v>
      </c>
      <c r="AB236" s="43"/>
      <c r="AC236" s="44" t="s">
        <v>106</v>
      </c>
      <c r="AD236" s="45">
        <f>R243</f>
        <v>40</v>
      </c>
      <c r="AE236" s="46" t="s">
        <v>32</v>
      </c>
      <c r="AF236" s="4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24.95" customHeight="1">
      <c r="A237" s="712"/>
      <c r="B237" s="27" t="s">
        <v>110</v>
      </c>
      <c r="C237" s="55" t="s">
        <v>7357</v>
      </c>
      <c r="D237" s="55"/>
      <c r="E237" s="154"/>
      <c r="F237" s="154"/>
      <c r="G237" s="154"/>
      <c r="H237" s="154"/>
      <c r="I237" s="154"/>
      <c r="J237" s="154"/>
      <c r="K237" s="154"/>
      <c r="L237" s="30"/>
      <c r="M237" s="33"/>
      <c r="N237" s="3"/>
      <c r="O237" s="39" t="s">
        <v>216</v>
      </c>
      <c r="Q237" s="14" t="s">
        <v>113</v>
      </c>
      <c r="R237" s="49">
        <f>IF(OR(R236=0,NOT(ISNUMBER(I234)),I234&lt;=0),"",R236/I234/10)</f>
        <v>17.5</v>
      </c>
      <c r="S237" s="50" t="s">
        <v>32</v>
      </c>
      <c r="T237" s="50"/>
      <c r="V237" s="44" t="s">
        <v>114</v>
      </c>
      <c r="W237" s="51" t="str">
        <f>IF(I235="","",IF(R243="","⚠ À CONTRÔLER",IF(I235&lt;=R243,"✔ OK","❌ DÉPASSE CAPACITÉ")))</f>
        <v>✔ OK</v>
      </c>
      <c r="X237" s="43"/>
      <c r="Y237" s="43"/>
      <c r="Z237" s="44"/>
      <c r="AA237" s="56"/>
      <c r="AB237" s="43"/>
      <c r="AC237" s="43"/>
      <c r="AD237" s="46"/>
      <c r="AE237" s="46"/>
      <c r="AF237" s="4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24.95" customHeight="1">
      <c r="A238" s="712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3"/>
      <c r="N238" s="3"/>
      <c r="O238" s="39" t="s">
        <v>83</v>
      </c>
      <c r="Q238" s="14" t="s">
        <v>118</v>
      </c>
      <c r="R238" s="155">
        <f>IF(AN250=0,"",SUM(AQ243:AQ249)/AN250*100)</f>
        <v>10.285714285714285</v>
      </c>
      <c r="S238" s="50" t="s">
        <v>88</v>
      </c>
      <c r="T238" s="50"/>
      <c r="V238" s="44" t="s">
        <v>110</v>
      </c>
      <c r="W238" s="46" t="str">
        <f>C237</f>
        <v>Long drink à base de vodka, ginger beer et citron vert</v>
      </c>
      <c r="X238" s="43"/>
      <c r="Y238" s="43"/>
      <c r="Z238" s="44"/>
      <c r="AA238" s="56"/>
      <c r="AB238" s="43"/>
      <c r="AC238" s="43"/>
      <c r="AD238" s="46"/>
      <c r="AE238" s="46"/>
      <c r="AF238" s="4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24.95" customHeight="1">
      <c r="A239" s="712"/>
      <c r="B239" s="57" t="s">
        <v>121</v>
      </c>
      <c r="C239" s="58" t="s">
        <v>7276</v>
      </c>
      <c r="D239" s="58"/>
      <c r="E239" s="59"/>
      <c r="F239" s="57" t="s">
        <v>123</v>
      </c>
      <c r="G239" s="58" t="s">
        <v>7277</v>
      </c>
      <c r="H239" s="60"/>
      <c r="I239" s="60"/>
      <c r="J239" s="61"/>
      <c r="K239" s="61"/>
      <c r="L239" s="61"/>
      <c r="M239" s="62"/>
      <c r="N239" s="3"/>
      <c r="O239" s="39" t="s">
        <v>355</v>
      </c>
      <c r="Q239" s="14" t="s">
        <v>126</v>
      </c>
      <c r="R239" s="156">
        <f>SUM(AR243:AR249)</f>
        <v>28.6</v>
      </c>
      <c r="S239" s="50" t="s">
        <v>90</v>
      </c>
      <c r="T239" s="50"/>
      <c r="V239" s="44" t="s">
        <v>121</v>
      </c>
      <c r="W239" s="46" t="str">
        <f>C239</f>
        <v>Référence classique — adaptation CFA</v>
      </c>
      <c r="X239" s="43"/>
      <c r="Y239" s="43"/>
      <c r="Z239" s="44" t="s">
        <v>94</v>
      </c>
      <c r="AA239" s="54" t="str">
        <f>C235</f>
        <v>*** frais épicé</v>
      </c>
      <c r="AB239" s="43"/>
      <c r="AC239" s="759" t="str">
        <f>UPPER(LEFT(C233,1))&amp;" . "&amp;UPPER(LEFT(C233,1))&amp;LOWER(MID(C233,2,999))&amp;" . "&amp;UPPER(LEFT(F233,1))&amp;LOWER(MID(F233,2,999))&amp;" . "&amp;UPPER(LEFT(I233,1))&amp;LOWER(MID(I233,2,999))&amp;" . "&amp;"Verre "&amp;UPPER(LEFT(F234,1))&amp;LOWER(MID(F234,2,999))&amp;IF(LEFT(L233,1)=UPPER(LEFT(L233,1)),".","")&amp;UPPER(LEFT(L233,1))&amp;LOWER(MID(L233,2,999))&amp;"  couleur "&amp;C234&amp;"  intensité "&amp;C235</f>
        <v>M . Moscow mule . Avec alcool . All day . Verre Copper mug.On the rocks  couleur jaune pâle translucide  intensité *** frais épicé</v>
      </c>
      <c r="AD239" s="759"/>
      <c r="AE239" s="759"/>
      <c r="AF239" s="759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24.95" customHeight="1">
      <c r="A240" s="712"/>
      <c r="B240" s="10" t="s">
        <v>131</v>
      </c>
      <c r="C240" s="10" t="s">
        <v>132</v>
      </c>
      <c r="D240" s="10"/>
      <c r="E240" s="10"/>
      <c r="F240" s="10"/>
      <c r="G240" s="10"/>
      <c r="H240" s="10"/>
      <c r="I240" s="10"/>
      <c r="J240" s="11" t="str">
        <f>IF(COUNTIF(C242:C248,"*~**")+COUNTIF(C242:C248,"*~?*")=0,"",IF(COUNTIF(C242:C248,"*~**")&gt;0,COUNTIF(C242:C248,"*~**")&amp;" allergène"&amp;IF(COUNTIF(C242:C248,"*~**")&gt;1,"s","")&amp;" repéré"&amp;IF(COUNTIF(C242:C248,"*~**")&gt;1,"s","")&amp;" par *","")&amp;IF(AND(COUNTIF(C242:C248,"*~**")&gt;0,COUNTIF(C242:C248,"*~?*")&gt;0)," | ","")&amp;IF(COUNTIF(C242:C248,"*~?*")&gt;0,COUNTIF(C242:C248,"*~?*")&amp;" produit"&amp;IF(COUNTIF(C242:C248,"*~?*")&gt;1,"s","")&amp;" à vérifier par ?",""))</f>
        <v/>
      </c>
      <c r="K240" s="10"/>
      <c r="L240" s="10"/>
      <c r="M240" s="63"/>
      <c r="N240" s="3"/>
      <c r="O240" s="39" t="s">
        <v>227</v>
      </c>
      <c r="Q240" s="14" t="s">
        <v>134</v>
      </c>
      <c r="R240" s="156">
        <f>IF(OR(R239="",R241="",R241=0),"",R239/R241)</f>
        <v>1.3</v>
      </c>
      <c r="S240" s="50" t="s">
        <v>135</v>
      </c>
      <c r="T240" s="50"/>
      <c r="V240" s="852" t="s">
        <v>136</v>
      </c>
      <c r="W240" s="853">
        <f>R239</f>
        <v>28.6</v>
      </c>
      <c r="X240" s="854" t="s">
        <v>90</v>
      </c>
      <c r="Y240" s="43"/>
      <c r="Z240" s="44" t="s">
        <v>137</v>
      </c>
      <c r="AA240" s="54" t="str">
        <f>C233</f>
        <v>MOSCOW MULE</v>
      </c>
      <c r="AB240" s="43"/>
      <c r="AC240" s="759"/>
      <c r="AD240" s="759"/>
      <c r="AE240" s="759"/>
      <c r="AF240" s="759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24.95" customHeight="1">
      <c r="A241" s="712"/>
      <c r="B241" s="66">
        <v>0</v>
      </c>
      <c r="C241" s="64" t="s">
        <v>141</v>
      </c>
      <c r="D241" s="65" t="s">
        <v>142</v>
      </c>
      <c r="E241" s="64" t="s">
        <v>9</v>
      </c>
      <c r="F241" s="66" t="s">
        <v>143</v>
      </c>
      <c r="G241" s="66" t="s">
        <v>144</v>
      </c>
      <c r="H241" s="66" t="s">
        <v>145</v>
      </c>
      <c r="I241" s="67" t="s">
        <v>146</v>
      </c>
      <c r="J241" s="67" t="s">
        <v>847</v>
      </c>
      <c r="K241" s="67" t="s">
        <v>148</v>
      </c>
      <c r="L241" s="67" t="s">
        <v>149</v>
      </c>
      <c r="M241" s="68" t="s">
        <v>150</v>
      </c>
      <c r="N241" s="3"/>
      <c r="O241" s="39" t="s">
        <v>270</v>
      </c>
      <c r="Q241" s="14" t="s">
        <v>152</v>
      </c>
      <c r="R241" s="49">
        <f>IF(AND(ISNUMBER(R234),R234&gt;0,ISNUMBER(I235),I235&gt;0),R234*1000/(I235*10),IF(AND(ISNUMBER(R233),R233&gt;0),R233,""))</f>
        <v>22</v>
      </c>
      <c r="S241" s="50" t="s">
        <v>76</v>
      </c>
      <c r="T241" s="50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H241" s="25" t="s">
        <v>153</v>
      </c>
      <c r="AI241" s="25"/>
      <c r="AJ241" s="25" t="s">
        <v>490</v>
      </c>
      <c r="AK241" s="25"/>
      <c r="AL241" s="25"/>
      <c r="AM241" s="25"/>
      <c r="AN241" s="26"/>
      <c r="AO241" s="26"/>
      <c r="AP241" s="26"/>
      <c r="AQ241" s="26"/>
      <c r="AR241" s="26"/>
      <c r="AS241" s="26"/>
    </row>
    <row r="242" spans="1:45" ht="24.95" customHeight="1">
      <c r="A242" s="712"/>
      <c r="B242" s="731">
        <v>1</v>
      </c>
      <c r="C242" s="70" t="s">
        <v>839</v>
      </c>
      <c r="D242" s="79">
        <v>4.5</v>
      </c>
      <c r="E242" s="18" t="s">
        <v>32</v>
      </c>
      <c r="F242" s="72">
        <v>40</v>
      </c>
      <c r="G242" s="732">
        <v>0.95</v>
      </c>
      <c r="H242" s="733" t="s">
        <v>156</v>
      </c>
      <c r="I242" s="161">
        <v>18</v>
      </c>
      <c r="J242" s="73"/>
      <c r="K242" s="73"/>
      <c r="L242" s="73"/>
      <c r="M242" s="74"/>
      <c r="N242" s="3"/>
      <c r="O242" s="39" t="s">
        <v>238</v>
      </c>
      <c r="Q242" s="14" t="s">
        <v>158</v>
      </c>
      <c r="R242" s="75" t="str">
        <f>IF(AND(ISNUMBER(R234),R234&gt;0),"VOLUME TOTAL",IF(AND(ISNUMBER(R233),R233&gt;0),"NOMBRE DE COCKTAILS","RÉFÉRENCE"))</f>
        <v>NOMBRE DE COCKTAILS</v>
      </c>
      <c r="S242" s="50"/>
      <c r="T242" s="50"/>
      <c r="V242" s="831" t="s">
        <v>159</v>
      </c>
      <c r="W242" s="36" t="s">
        <v>160</v>
      </c>
      <c r="X242" s="76" t="s">
        <v>161</v>
      </c>
      <c r="Y242" s="835" t="s">
        <v>162</v>
      </c>
      <c r="Z242" s="838" t="s">
        <v>163</v>
      </c>
      <c r="AA242" s="36" t="s">
        <v>164</v>
      </c>
      <c r="AB242" s="36" t="s">
        <v>9</v>
      </c>
      <c r="AC242" s="841" t="s">
        <v>165</v>
      </c>
      <c r="AD242" s="296" t="s">
        <v>166</v>
      </c>
      <c r="AE242" s="36" t="s">
        <v>146</v>
      </c>
      <c r="AF242" s="833" t="s">
        <v>167</v>
      </c>
      <c r="AH242" s="77" t="s">
        <v>168</v>
      </c>
      <c r="AI242" s="78" t="s">
        <v>159</v>
      </c>
      <c r="AJ242" s="77" t="s">
        <v>10</v>
      </c>
      <c r="AK242" s="77" t="s">
        <v>169</v>
      </c>
      <c r="AL242" s="77" t="s">
        <v>170</v>
      </c>
      <c r="AM242" s="77" t="s">
        <v>91</v>
      </c>
      <c r="AN242" s="78" t="s">
        <v>161</v>
      </c>
      <c r="AO242" s="77" t="s">
        <v>171</v>
      </c>
      <c r="AP242" s="77" t="s">
        <v>172</v>
      </c>
      <c r="AQ242" s="77" t="s">
        <v>165</v>
      </c>
      <c r="AR242" s="77" t="s">
        <v>167</v>
      </c>
      <c r="AS242" s="77" t="s">
        <v>173</v>
      </c>
    </row>
    <row r="243" spans="1:45" ht="24.95" customHeight="1">
      <c r="A243" s="712"/>
      <c r="B243" s="734">
        <v>2</v>
      </c>
      <c r="C243" s="70" t="s">
        <v>7358</v>
      </c>
      <c r="D243" s="79">
        <v>12</v>
      </c>
      <c r="E243" s="18" t="s">
        <v>32</v>
      </c>
      <c r="F243" s="72">
        <v>0</v>
      </c>
      <c r="G243" s="732">
        <v>1.02</v>
      </c>
      <c r="H243" s="733" t="s">
        <v>156</v>
      </c>
      <c r="I243" s="161">
        <v>3</v>
      </c>
      <c r="J243" s="73"/>
      <c r="K243" s="73" t="s">
        <v>7359</v>
      </c>
      <c r="L243" s="73"/>
      <c r="M243" s="74"/>
      <c r="N243" s="3"/>
      <c r="O243" s="39" t="s">
        <v>372</v>
      </c>
      <c r="Q243" s="14" t="s">
        <v>35</v>
      </c>
      <c r="R243" s="35">
        <f>IFERROR(VLOOKUP(F234,$BB$5:$BC$40,2,FALSE),"")</f>
        <v>40</v>
      </c>
      <c r="S243" s="50" t="s">
        <v>32</v>
      </c>
      <c r="T243" s="50"/>
      <c r="V243" s="846" t="str">
        <f t="shared" ref="V243:V249" si="132">IF(AI243="","",AI243)</f>
        <v>Vodka</v>
      </c>
      <c r="W243" s="848" t="str">
        <f t="shared" ref="W243:W249" si="133">IF(C242="","",IF(H242="QS","QS",D242&amp;" "&amp;E242))</f>
        <v>4.5 cl</v>
      </c>
      <c r="X243" s="81">
        <f t="shared" ref="X243:X249" si="134">IF(AN243="","",AN243)</f>
        <v>990</v>
      </c>
      <c r="Y243" s="836" t="str">
        <f t="shared" ref="Y243:Y249" si="135">IF(C242="","",IF(H242="QS","Qt. suffisante",IF(AN243="","",IF(AJ243="VOLUME",IF(AN243&gt;=1000,TEXT(AO243,"0.00")&amp;" "&amp;AP243,IF(AN243&gt;=10,TEXT(AO243,"0.0")&amp;" "&amp;AP243&amp;" ► "&amp;TEXT(AN243/1000,"0.000")&amp;" L",TEXT(AO243,"0.0")&amp;" "&amp;AP243)),IF(AJ243="MASSE",TEXT(AO243,"0.00")&amp;" "&amp;AP243,AO243&amp;" "&amp;AP243)))))</f>
        <v>99.0 cl ► 0.990 L</v>
      </c>
      <c r="Z243" s="839" t="str">
        <f>IF(OR(C242="",AJ243&lt;&gt;"VOLUME",AN250=0),"","≈ "&amp;TEXT(ROUND(AN243/AN250*10*2,0)/2,"0.0")&amp;"/10")</f>
        <v>≈ 2.5/10</v>
      </c>
      <c r="AA243" s="82" t="str">
        <f t="shared" ref="AA243:AA249" si="136">IF(AJ243="AUTRE",AO243,"")</f>
        <v/>
      </c>
      <c r="AB243" s="83" t="str">
        <f t="shared" ref="AB243:AB249" si="137">IF(C242="","",AP243)</f>
        <v>cl</v>
      </c>
      <c r="AC243" s="842">
        <f t="shared" ref="AC243:AC249" si="138">IF(C242="","",AQ243)</f>
        <v>396</v>
      </c>
      <c r="AD243" s="163">
        <f t="shared" ref="AD243:AD249" si="139">IF(C242="","",IF(ISNUMBER(F242),F242,0))</f>
        <v>40</v>
      </c>
      <c r="AE243" s="164">
        <f t="shared" ref="AE243:AE249" si="140">IF(C242="","",IF(ISNUMBER(I242),I242,""))</f>
        <v>18</v>
      </c>
      <c r="AF243" s="855">
        <f t="shared" ref="AF243:AF249" si="141">IF(C242="","",AR243)</f>
        <v>17.82</v>
      </c>
      <c r="AH243" s="84">
        <f t="shared" ref="AH243:AH249" si="142">IF(C242="","",B242)</f>
        <v>1</v>
      </c>
      <c r="AI243" s="85" t="str">
        <f t="shared" ref="AI243:AI249" si="143">IF(C242="","",C242)</f>
        <v>Vodka</v>
      </c>
      <c r="AJ243" s="84" t="str">
        <f t="shared" ref="AJ243:AJ249" si="144">IF(C242="","",IFERROR(VLOOKUP(E242,$AU$5:$AY$121,2,FALSE),"UNITÉ ?"))</f>
        <v>VOLUME</v>
      </c>
      <c r="AK243" s="84">
        <f t="shared" ref="AK243:AK249" si="145">IF(C242="","",IFERROR(VLOOKUP(E242,$AU$5:$AY$121,3,FALSE),""))</f>
        <v>10</v>
      </c>
      <c r="AL243" s="84">
        <f t="shared" ref="AL243:AL249" si="146">IF(OR(C242="",H242="QS",NOT(ISNUMBER(D242))),"",D242*AK243)</f>
        <v>45</v>
      </c>
      <c r="AM243" s="84">
        <f>IF(C242="","",R235)</f>
        <v>22</v>
      </c>
      <c r="AN243" s="84">
        <f t="shared" ref="AN243:AN249" si="147">IF(C242="","",IF(H242="QS","",IF(AL243="","",IF(OR(H242="F",H242="FIXE"),AL243,AL243*AM243))))</f>
        <v>990</v>
      </c>
      <c r="AO243" s="84">
        <f t="shared" ref="AO243:AO249" si="148">IF(C242="","",IF(H242="QS","",IF(AN243="","",IF(AJ243="VOLUME",IF(AN243&gt;=1000,ROUND(AN243/1000,2),IF(AN243&gt;=10,ROUND(AN243/10,1),ROUND(AN243,1))),IF(AJ243="MASSE",IF(AN243&gt;=1000,ROUND(AN243/1000,2),ROUND(AN243,0)),ROUND(AN243,2))))))</f>
        <v>99</v>
      </c>
      <c r="AP243" s="84" t="str">
        <f t="shared" ref="AP243:AP249" si="149">IF(C242="","",IF(H242="QS","",IF(AN243="","",IF(AJ243="VOLUME",IF(AN243&gt;=1000,"L",IF(AN243&gt;=10,"cl","ml")),IF(AJ243="MASSE",IF(AN243&gt;=1000,"Kg","g"),IFERROR(VLOOKUP(E242,$AU$5:$AY$121,5,FALSE),E242))))))</f>
        <v>cl</v>
      </c>
      <c r="AQ243" s="84">
        <f t="shared" ref="AQ243:AQ249" si="150">IF(C242="","",IF(OR(AJ243&lt;&gt;"VOLUME",NOT(ISNUMBER(F242)),AN243=""),0,AN243*F242/100))</f>
        <v>396</v>
      </c>
      <c r="AR243" s="84">
        <f t="shared" ref="AR243:AR249" si="151">IF(C242="","",IF(H242="QS",0,IF(NOT(ISNUMBER(I242)),0,IF(OR(AJ243="VOLUME",AJ243="MASSE"),AN243/1000*I242,AN243*I242))))</f>
        <v>17.82</v>
      </c>
      <c r="AS243" s="84" t="str">
        <f t="shared" ref="AS243:AS249" si="152">IF(C242="","",IF(H242="QS","OK",IF(NOT(ISNUMBER(D242)),"QUANTITÉ ?",IF(E242="","UNITÉ ?",IF(AJ243="UNITÉ ?","UNITÉ ?",IF(AND(H242&lt;&gt;"",H242&lt;&gt;"PROP",H242&lt;&gt;"F",H242&lt;&gt;"FIXE",H242&lt;&gt;"QS"),"RÈGLE ?","OK"))))))</f>
        <v>OK</v>
      </c>
    </row>
    <row r="244" spans="1:45" ht="24.95" customHeight="1">
      <c r="A244" s="712"/>
      <c r="B244" s="731">
        <v>3</v>
      </c>
      <c r="C244" s="70" t="s">
        <v>7279</v>
      </c>
      <c r="D244" s="79">
        <v>1</v>
      </c>
      <c r="E244" s="18" t="s">
        <v>32</v>
      </c>
      <c r="F244" s="72">
        <v>0</v>
      </c>
      <c r="G244" s="732">
        <v>1.03</v>
      </c>
      <c r="H244" s="733" t="s">
        <v>156</v>
      </c>
      <c r="I244" s="161">
        <v>3</v>
      </c>
      <c r="J244" s="73"/>
      <c r="K244" s="73"/>
      <c r="L244" s="73"/>
      <c r="M244" s="74"/>
      <c r="N244" s="3"/>
      <c r="O244" s="39" t="s">
        <v>93</v>
      </c>
      <c r="V244" s="846" t="str">
        <f t="shared" si="132"/>
        <v>Ginger beer</v>
      </c>
      <c r="W244" s="848" t="str">
        <f t="shared" si="133"/>
        <v>12 cl</v>
      </c>
      <c r="X244" s="81">
        <f t="shared" si="134"/>
        <v>2640</v>
      </c>
      <c r="Y244" s="836" t="str">
        <f t="shared" si="135"/>
        <v>2.64 L</v>
      </c>
      <c r="Z244" s="839" t="str">
        <f>IF(OR(C243="",AJ244&lt;&gt;"VOLUME",AN250=0),"","≈ "&amp;TEXT(ROUND(AN244/AN250*10*2,0)/2,"0.0")&amp;"/10")</f>
        <v>≈ 7.0/10</v>
      </c>
      <c r="AA244" s="82" t="str">
        <f t="shared" si="136"/>
        <v/>
      </c>
      <c r="AB244" s="83" t="str">
        <f t="shared" si="137"/>
        <v>L</v>
      </c>
      <c r="AC244" s="842">
        <f t="shared" si="138"/>
        <v>0</v>
      </c>
      <c r="AD244" s="163">
        <f t="shared" si="139"/>
        <v>0</v>
      </c>
      <c r="AE244" s="164">
        <f t="shared" si="140"/>
        <v>3</v>
      </c>
      <c r="AF244" s="855">
        <f t="shared" si="141"/>
        <v>7.92</v>
      </c>
      <c r="AH244" s="84">
        <f t="shared" si="142"/>
        <v>2</v>
      </c>
      <c r="AI244" s="85" t="str">
        <f t="shared" si="143"/>
        <v>Ginger beer</v>
      </c>
      <c r="AJ244" s="84" t="str">
        <f t="shared" si="144"/>
        <v>VOLUME</v>
      </c>
      <c r="AK244" s="84">
        <f t="shared" si="145"/>
        <v>10</v>
      </c>
      <c r="AL244" s="84">
        <f t="shared" si="146"/>
        <v>120</v>
      </c>
      <c r="AM244" s="84">
        <f>IF(C243="","",R235)</f>
        <v>22</v>
      </c>
      <c r="AN244" s="84">
        <f t="shared" si="147"/>
        <v>2640</v>
      </c>
      <c r="AO244" s="84">
        <f t="shared" si="148"/>
        <v>2.64</v>
      </c>
      <c r="AP244" s="84" t="str">
        <f t="shared" si="149"/>
        <v>L</v>
      </c>
      <c r="AQ244" s="84">
        <f t="shared" si="150"/>
        <v>0</v>
      </c>
      <c r="AR244" s="84">
        <f t="shared" si="151"/>
        <v>7.92</v>
      </c>
      <c r="AS244" s="84" t="str">
        <f t="shared" si="152"/>
        <v>OK</v>
      </c>
    </row>
    <row r="245" spans="1:45" ht="24.95" customHeight="1">
      <c r="A245" s="712"/>
      <c r="B245" s="734">
        <v>4</v>
      </c>
      <c r="C245" s="70" t="s">
        <v>7360</v>
      </c>
      <c r="D245" s="79">
        <v>1</v>
      </c>
      <c r="E245" s="53" t="s">
        <v>184</v>
      </c>
      <c r="F245" s="72"/>
      <c r="G245" s="732">
        <v>1</v>
      </c>
      <c r="H245" s="733" t="s">
        <v>156</v>
      </c>
      <c r="I245" s="161">
        <v>0.1</v>
      </c>
      <c r="J245" s="73"/>
      <c r="K245" s="73" t="s">
        <v>7314</v>
      </c>
      <c r="L245" s="73"/>
      <c r="M245" s="74"/>
      <c r="N245" s="3"/>
      <c r="Q245" s="744" t="s">
        <v>566</v>
      </c>
      <c r="V245" s="846" t="str">
        <f t="shared" si="132"/>
        <v>Jus de citron vert</v>
      </c>
      <c r="W245" s="848" t="str">
        <f t="shared" si="133"/>
        <v>1 cl</v>
      </c>
      <c r="X245" s="81">
        <f t="shared" si="134"/>
        <v>220</v>
      </c>
      <c r="Y245" s="836" t="str">
        <f t="shared" si="135"/>
        <v>22.0 cl ► 0.220 L</v>
      </c>
      <c r="Z245" s="839" t="str">
        <f>IF(OR(C244="",AJ245&lt;&gt;"VOLUME",AN250=0),"","≈ "&amp;TEXT(ROUND(AN245/AN250*10*2,0)/2,"0.0")&amp;"/10")</f>
        <v>≈ 0.5/10</v>
      </c>
      <c r="AA245" s="82" t="str">
        <f t="shared" si="136"/>
        <v/>
      </c>
      <c r="AB245" s="83" t="str">
        <f t="shared" si="137"/>
        <v>cl</v>
      </c>
      <c r="AC245" s="842">
        <f t="shared" si="138"/>
        <v>0</v>
      </c>
      <c r="AD245" s="163">
        <f t="shared" si="139"/>
        <v>0</v>
      </c>
      <c r="AE245" s="164">
        <f t="shared" si="140"/>
        <v>3</v>
      </c>
      <c r="AF245" s="855">
        <f t="shared" si="141"/>
        <v>0.66</v>
      </c>
      <c r="AH245" s="84">
        <f t="shared" si="142"/>
        <v>3</v>
      </c>
      <c r="AI245" s="85" t="str">
        <f t="shared" si="143"/>
        <v>Jus de citron vert</v>
      </c>
      <c r="AJ245" s="84" t="str">
        <f t="shared" si="144"/>
        <v>VOLUME</v>
      </c>
      <c r="AK245" s="84">
        <f t="shared" si="145"/>
        <v>10</v>
      </c>
      <c r="AL245" s="84">
        <f t="shared" si="146"/>
        <v>10</v>
      </c>
      <c r="AM245" s="84">
        <f>IF(C244="","",R235)</f>
        <v>22</v>
      </c>
      <c r="AN245" s="84">
        <f t="shared" si="147"/>
        <v>220</v>
      </c>
      <c r="AO245" s="84">
        <f t="shared" si="148"/>
        <v>22</v>
      </c>
      <c r="AP245" s="84" t="str">
        <f t="shared" si="149"/>
        <v>cl</v>
      </c>
      <c r="AQ245" s="84">
        <f t="shared" si="150"/>
        <v>0</v>
      </c>
      <c r="AR245" s="84">
        <f t="shared" si="151"/>
        <v>0.66</v>
      </c>
      <c r="AS245" s="84" t="str">
        <f t="shared" si="152"/>
        <v>OK</v>
      </c>
    </row>
    <row r="246" spans="1:45" ht="24.95" customHeight="1">
      <c r="A246" s="712"/>
      <c r="B246" s="731">
        <v>5</v>
      </c>
      <c r="C246" s="70" t="s">
        <v>188</v>
      </c>
      <c r="D246" s="79"/>
      <c r="E246" s="53" t="s">
        <v>151</v>
      </c>
      <c r="F246" s="72"/>
      <c r="G246" s="732">
        <v>1</v>
      </c>
      <c r="H246" s="733" t="s">
        <v>151</v>
      </c>
      <c r="I246" s="161">
        <v>0</v>
      </c>
      <c r="J246" s="73"/>
      <c r="K246" s="73"/>
      <c r="L246" s="73"/>
      <c r="M246" s="74"/>
      <c r="N246" s="3"/>
      <c r="Q246" s="744"/>
      <c r="V246" s="846" t="str">
        <f t="shared" si="132"/>
        <v>Tranche de citron vert</v>
      </c>
      <c r="W246" s="848" t="str">
        <f t="shared" si="133"/>
        <v>1 Tranche(s)</v>
      </c>
      <c r="X246" s="81">
        <f t="shared" si="134"/>
        <v>22</v>
      </c>
      <c r="Y246" s="836" t="str">
        <f t="shared" si="135"/>
        <v>22 tranche(s)</v>
      </c>
      <c r="Z246" s="839" t="str">
        <f>IF(OR(C245="",AJ246&lt;&gt;"VOLUME",AN250=0),"","≈ "&amp;TEXT(ROUND(AN246/AN250*10*2,0)/2,"0.0")&amp;"/10")</f>
        <v/>
      </c>
      <c r="AA246" s="82">
        <f t="shared" si="136"/>
        <v>22</v>
      </c>
      <c r="AB246" s="83" t="str">
        <f t="shared" si="137"/>
        <v>tranche(s)</v>
      </c>
      <c r="AC246" s="842">
        <f t="shared" si="138"/>
        <v>0</v>
      </c>
      <c r="AD246" s="163">
        <f t="shared" si="139"/>
        <v>0</v>
      </c>
      <c r="AE246" s="164">
        <f t="shared" si="140"/>
        <v>0.1</v>
      </c>
      <c r="AF246" s="855">
        <f t="shared" si="141"/>
        <v>2.2000000000000002</v>
      </c>
      <c r="AH246" s="84">
        <f t="shared" si="142"/>
        <v>4</v>
      </c>
      <c r="AI246" s="85" t="str">
        <f t="shared" si="143"/>
        <v>Tranche de citron vert</v>
      </c>
      <c r="AJ246" s="84" t="str">
        <f t="shared" si="144"/>
        <v>AUTRE</v>
      </c>
      <c r="AK246" s="84">
        <f t="shared" si="145"/>
        <v>1</v>
      </c>
      <c r="AL246" s="84">
        <f t="shared" si="146"/>
        <v>1</v>
      </c>
      <c r="AM246" s="84">
        <f>IF(C245="","",R235)</f>
        <v>22</v>
      </c>
      <c r="AN246" s="84">
        <f t="shared" si="147"/>
        <v>22</v>
      </c>
      <c r="AO246" s="84">
        <f t="shared" si="148"/>
        <v>22</v>
      </c>
      <c r="AP246" s="84" t="str">
        <f t="shared" si="149"/>
        <v>tranche(s)</v>
      </c>
      <c r="AQ246" s="84">
        <f t="shared" si="150"/>
        <v>0</v>
      </c>
      <c r="AR246" s="84">
        <f t="shared" si="151"/>
        <v>2.2000000000000002</v>
      </c>
      <c r="AS246" s="84" t="str">
        <f t="shared" si="152"/>
        <v>OK</v>
      </c>
    </row>
    <row r="247" spans="1:45" ht="24.95" customHeight="1">
      <c r="A247" s="712"/>
      <c r="B247" s="734"/>
      <c r="C247" s="70"/>
      <c r="D247" s="79"/>
      <c r="E247" s="3"/>
      <c r="F247" s="72"/>
      <c r="G247" s="732"/>
      <c r="H247" s="733"/>
      <c r="I247" s="161"/>
      <c r="J247" s="73"/>
      <c r="K247" s="73"/>
      <c r="L247" s="73"/>
      <c r="M247" s="74"/>
      <c r="N247" s="3"/>
      <c r="O247" s="751" t="s">
        <v>2</v>
      </c>
      <c r="V247" s="846" t="str">
        <f t="shared" si="132"/>
        <v>Glace</v>
      </c>
      <c r="W247" s="848" t="str">
        <f t="shared" si="133"/>
        <v>QS</v>
      </c>
      <c r="X247" s="81" t="str">
        <f t="shared" si="134"/>
        <v/>
      </c>
      <c r="Y247" s="836" t="str">
        <f t="shared" si="135"/>
        <v>Qt. suffisante</v>
      </c>
      <c r="Z247" s="839" t="str">
        <f>IF(OR(C246="",AJ247&lt;&gt;"VOLUME",AN250=0),"","≈ "&amp;TEXT(ROUND(AN247/AN250*10*2,0)/2,"0.0")&amp;"/10")</f>
        <v/>
      </c>
      <c r="AA247" s="80" t="str">
        <f t="shared" si="136"/>
        <v/>
      </c>
      <c r="AB247" s="83" t="str">
        <f t="shared" si="137"/>
        <v/>
      </c>
      <c r="AC247" s="842">
        <f t="shared" si="138"/>
        <v>0</v>
      </c>
      <c r="AD247" s="163">
        <f t="shared" si="139"/>
        <v>0</v>
      </c>
      <c r="AE247" s="164">
        <f t="shared" si="140"/>
        <v>0</v>
      </c>
      <c r="AF247" s="855">
        <f t="shared" si="141"/>
        <v>0</v>
      </c>
      <c r="AH247" s="84">
        <f t="shared" si="142"/>
        <v>5</v>
      </c>
      <c r="AI247" s="85" t="str">
        <f t="shared" si="143"/>
        <v>Glace</v>
      </c>
      <c r="AJ247" s="84" t="str">
        <f t="shared" si="144"/>
        <v>AUTRE</v>
      </c>
      <c r="AK247" s="84">
        <f t="shared" si="145"/>
        <v>1</v>
      </c>
      <c r="AL247" s="84" t="str">
        <f t="shared" si="146"/>
        <v/>
      </c>
      <c r="AM247" s="84">
        <f>IF(C246="","",R235)</f>
        <v>22</v>
      </c>
      <c r="AN247" s="84" t="str">
        <f t="shared" si="147"/>
        <v/>
      </c>
      <c r="AO247" s="84" t="str">
        <f t="shared" si="148"/>
        <v/>
      </c>
      <c r="AP247" s="84" t="str">
        <f t="shared" si="149"/>
        <v/>
      </c>
      <c r="AQ247" s="84">
        <f t="shared" si="150"/>
        <v>0</v>
      </c>
      <c r="AR247" s="84">
        <f t="shared" si="151"/>
        <v>0</v>
      </c>
      <c r="AS247" s="84" t="str">
        <f t="shared" si="152"/>
        <v>OK</v>
      </c>
    </row>
    <row r="248" spans="1:45" ht="24.95" customHeight="1">
      <c r="A248" s="712"/>
      <c r="B248" s="731"/>
      <c r="C248" s="70"/>
      <c r="D248" s="79"/>
      <c r="E248" s="3"/>
      <c r="F248" s="72"/>
      <c r="G248" s="732"/>
      <c r="H248" s="733"/>
      <c r="I248" s="161"/>
      <c r="J248" s="73"/>
      <c r="K248" s="73"/>
      <c r="L248" s="73"/>
      <c r="M248" s="74"/>
      <c r="N248" s="3"/>
      <c r="O248" s="751"/>
      <c r="Q248" s="355" t="s">
        <v>558</v>
      </c>
      <c r="V248" s="847" t="str">
        <f t="shared" si="132"/>
        <v/>
      </c>
      <c r="W248" s="849" t="str">
        <f t="shared" si="133"/>
        <v/>
      </c>
      <c r="X248" s="86" t="str">
        <f t="shared" si="134"/>
        <v/>
      </c>
      <c r="Y248" s="837" t="str">
        <f t="shared" si="135"/>
        <v/>
      </c>
      <c r="Z248" s="840" t="str">
        <f>IF(OR(C247="",AJ248&lt;&gt;"VOLUME",AN250=0),"","≈ "&amp;TEXT(ROUND(AN248/AN250*10*2,0)/2,"0.0")&amp;"/10")</f>
        <v/>
      </c>
      <c r="AA248" s="87" t="str">
        <f t="shared" si="136"/>
        <v/>
      </c>
      <c r="AB248" s="88" t="str">
        <f t="shared" si="137"/>
        <v/>
      </c>
      <c r="AC248" s="843" t="str">
        <f t="shared" si="138"/>
        <v/>
      </c>
      <c r="AD248" s="88" t="str">
        <f t="shared" si="139"/>
        <v/>
      </c>
      <c r="AE248" s="88" t="str">
        <f t="shared" si="140"/>
        <v/>
      </c>
      <c r="AF248" s="834" t="str">
        <f t="shared" si="141"/>
        <v/>
      </c>
      <c r="AH248" s="84" t="str">
        <f t="shared" si="142"/>
        <v/>
      </c>
      <c r="AI248" s="85" t="str">
        <f t="shared" si="143"/>
        <v/>
      </c>
      <c r="AJ248" s="84" t="str">
        <f t="shared" si="144"/>
        <v/>
      </c>
      <c r="AK248" s="84" t="str">
        <f t="shared" si="145"/>
        <v/>
      </c>
      <c r="AL248" s="84" t="str">
        <f t="shared" si="146"/>
        <v/>
      </c>
      <c r="AM248" s="84" t="str">
        <f>IF(C247="","",R235)</f>
        <v/>
      </c>
      <c r="AN248" s="84" t="str">
        <f t="shared" si="147"/>
        <v/>
      </c>
      <c r="AO248" s="84" t="str">
        <f t="shared" si="148"/>
        <v/>
      </c>
      <c r="AP248" s="84" t="str">
        <f t="shared" si="149"/>
        <v/>
      </c>
      <c r="AQ248" s="84" t="str">
        <f t="shared" si="150"/>
        <v/>
      </c>
      <c r="AR248" s="84" t="str">
        <f t="shared" si="151"/>
        <v/>
      </c>
      <c r="AS248" s="84" t="str">
        <f t="shared" si="152"/>
        <v/>
      </c>
    </row>
    <row r="249" spans="1:45" ht="24.95" customHeight="1">
      <c r="A249" s="712"/>
      <c r="B249" s="14" t="s">
        <v>44</v>
      </c>
      <c r="C249" s="146" t="s">
        <v>198</v>
      </c>
      <c r="D249" s="89"/>
      <c r="E249" s="89"/>
      <c r="F249" s="89"/>
      <c r="G249" s="89"/>
      <c r="H249" s="89"/>
      <c r="I249" s="89"/>
      <c r="J249" s="89"/>
      <c r="K249" s="89"/>
      <c r="L249" s="89"/>
      <c r="M249" s="90"/>
      <c r="N249" s="3"/>
      <c r="O249" s="751" t="s">
        <v>480</v>
      </c>
      <c r="Q249"/>
      <c r="V249" s="847" t="str">
        <f t="shared" si="132"/>
        <v/>
      </c>
      <c r="W249" s="849" t="str">
        <f t="shared" si="133"/>
        <v/>
      </c>
      <c r="X249" s="86" t="str">
        <f t="shared" si="134"/>
        <v/>
      </c>
      <c r="Y249" s="837" t="str">
        <f t="shared" si="135"/>
        <v/>
      </c>
      <c r="Z249" s="840" t="str">
        <f>IF(OR(C248="",AJ249&lt;&gt;"VOLUME",AN250=0),"","≈ "&amp;TEXT(ROUND(AN249/AN250*10*2,0)/2,"0.0")&amp;"/10")</f>
        <v/>
      </c>
      <c r="AA249" s="87" t="str">
        <f t="shared" si="136"/>
        <v/>
      </c>
      <c r="AB249" s="88" t="str">
        <f t="shared" si="137"/>
        <v/>
      </c>
      <c r="AC249" s="843" t="str">
        <f t="shared" si="138"/>
        <v/>
      </c>
      <c r="AD249" s="88" t="str">
        <f t="shared" si="139"/>
        <v/>
      </c>
      <c r="AE249" s="88" t="str">
        <f t="shared" si="140"/>
        <v/>
      </c>
      <c r="AF249" s="834" t="str">
        <f t="shared" si="141"/>
        <v/>
      </c>
      <c r="AH249" s="84" t="str">
        <f t="shared" si="142"/>
        <v/>
      </c>
      <c r="AI249" s="85" t="str">
        <f t="shared" si="143"/>
        <v/>
      </c>
      <c r="AJ249" s="84" t="str">
        <f t="shared" si="144"/>
        <v/>
      </c>
      <c r="AK249" s="84" t="str">
        <f t="shared" si="145"/>
        <v/>
      </c>
      <c r="AL249" s="84" t="str">
        <f t="shared" si="146"/>
        <v/>
      </c>
      <c r="AM249" s="84" t="str">
        <f>IF(C248="","",R235)</f>
        <v/>
      </c>
      <c r="AN249" s="84" t="str">
        <f t="shared" si="147"/>
        <v/>
      </c>
      <c r="AO249" s="84" t="str">
        <f t="shared" si="148"/>
        <v/>
      </c>
      <c r="AP249" s="84" t="str">
        <f t="shared" si="149"/>
        <v/>
      </c>
      <c r="AQ249" s="84" t="str">
        <f t="shared" si="150"/>
        <v/>
      </c>
      <c r="AR249" s="84" t="str">
        <f t="shared" si="151"/>
        <v/>
      </c>
      <c r="AS249" s="84" t="str">
        <f t="shared" si="152"/>
        <v/>
      </c>
    </row>
    <row r="250" spans="1:45" ht="24.95" customHeight="1">
      <c r="A250" s="712"/>
      <c r="B250" s="91">
        <v>0</v>
      </c>
      <c r="C250" s="10" t="s">
        <v>491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92"/>
      <c r="N250" s="3"/>
      <c r="O250" s="751"/>
      <c r="Q250" s="29" t="s">
        <v>70</v>
      </c>
      <c r="V250" s="851" t="s">
        <v>203</v>
      </c>
      <c r="W250" s="93"/>
      <c r="X250" s="845">
        <f>AN250</f>
        <v>3850</v>
      </c>
      <c r="Y250" s="835" t="str">
        <f>IF(AN250=0,"",TEXT(AN250/1000,"0.000")&amp;" L")</f>
        <v>3.850 L</v>
      </c>
      <c r="Z250" s="857"/>
      <c r="AA250" s="93"/>
      <c r="AB250" s="93"/>
      <c r="AC250" s="832">
        <f>AQ250</f>
        <v>396</v>
      </c>
      <c r="AD250" s="844">
        <f>IF(AN250=0,"",AQ250/AN250*100)</f>
        <v>10.285714285714285</v>
      </c>
      <c r="AE250" s="93"/>
      <c r="AF250" s="856">
        <f>AR250</f>
        <v>28.6</v>
      </c>
      <c r="AH250" s="94" t="s">
        <v>203</v>
      </c>
      <c r="AI250" s="94"/>
      <c r="AJ250" s="94"/>
      <c r="AK250" s="94"/>
      <c r="AL250" s="94"/>
      <c r="AM250" s="94"/>
      <c r="AN250" s="94">
        <f>SUMIF(AJ243:AJ249,"VOLUME",AN243:AN249)</f>
        <v>3850</v>
      </c>
      <c r="AO250" s="94"/>
      <c r="AP250" s="94"/>
      <c r="AQ250" s="94">
        <f>SUM(AQ243:AQ249)</f>
        <v>396</v>
      </c>
      <c r="AR250" s="94">
        <f>SUM(AR243:AR249)</f>
        <v>28.6</v>
      </c>
      <c r="AS250" s="94" t="str">
        <f>IF(COUNTIF(AS243:AS249,"&lt;&gt;OK")-COUNTBLANK(AS243:AS249)=0,"OK","À CONTRÔLER")</f>
        <v>OK</v>
      </c>
    </row>
    <row r="251" spans="1:45" ht="24.95" customHeight="1">
      <c r="A251" s="712"/>
      <c r="B251" s="95">
        <v>1</v>
      </c>
      <c r="C251" s="96" t="s">
        <v>7361</v>
      </c>
      <c r="D251" s="96"/>
      <c r="E251" s="96"/>
      <c r="F251" s="96"/>
      <c r="G251" s="96"/>
      <c r="H251" s="96"/>
      <c r="I251" s="96"/>
      <c r="J251" s="96"/>
      <c r="K251" s="96"/>
      <c r="L251" s="96"/>
      <c r="M251" s="74"/>
      <c r="N251" s="3"/>
      <c r="O251" s="16" t="s">
        <v>20</v>
      </c>
      <c r="Q251" s="184"/>
      <c r="V251" s="832" t="s">
        <v>208</v>
      </c>
      <c r="W251" s="19" t="s">
        <v>209</v>
      </c>
      <c r="X251" s="36"/>
      <c r="Y251" s="858"/>
      <c r="Z251" s="859"/>
      <c r="AA251" s="97"/>
      <c r="AB251" s="97"/>
      <c r="AC251" s="97"/>
      <c r="AD251" s="97"/>
      <c r="AE251" s="97"/>
      <c r="AF251" s="860"/>
      <c r="AH251" s="3" t="s">
        <v>6994</v>
      </c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spans="1:45" ht="24.95" customHeight="1">
      <c r="A252" s="712"/>
      <c r="B252" s="95">
        <v>2</v>
      </c>
      <c r="C252" s="96" t="s">
        <v>7362</v>
      </c>
      <c r="D252" s="96"/>
      <c r="E252" s="96"/>
      <c r="F252" s="96"/>
      <c r="G252" s="96"/>
      <c r="H252" s="96"/>
      <c r="I252" s="96"/>
      <c r="J252" s="96"/>
      <c r="K252" s="96"/>
      <c r="L252" s="96"/>
      <c r="M252" s="74"/>
      <c r="N252" s="3"/>
      <c r="O252" s="18" t="s">
        <v>28</v>
      </c>
      <c r="P252" s="3"/>
      <c r="Q252" s="29" t="s">
        <v>584</v>
      </c>
      <c r="V252" s="98" t="str">
        <f t="shared" ref="V252:V259" si="153">IF(C251="","",C251)</f>
        <v>Préparer le Copper Mug.</v>
      </c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H252" s="146" t="s">
        <v>214</v>
      </c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3"/>
    </row>
    <row r="253" spans="1:45" ht="24.95" customHeight="1">
      <c r="A253" s="712"/>
      <c r="B253" s="95">
        <v>3</v>
      </c>
      <c r="C253" s="96" t="s">
        <v>7363</v>
      </c>
      <c r="D253" s="96"/>
      <c r="E253" s="96"/>
      <c r="F253" s="96"/>
      <c r="G253" s="96"/>
      <c r="H253" s="96"/>
      <c r="I253" s="96"/>
      <c r="J253" s="96"/>
      <c r="K253" s="96"/>
      <c r="L253" s="96"/>
      <c r="M253" s="74"/>
      <c r="N253" s="3"/>
      <c r="O253" s="18" t="s">
        <v>32</v>
      </c>
      <c r="P253" s="3"/>
      <c r="Q253"/>
      <c r="R253" s="3"/>
      <c r="S253" s="3"/>
      <c r="T253" s="3"/>
      <c r="U253" s="3"/>
      <c r="V253" s="98" t="str">
        <f t="shared" si="153"/>
        <v>Remplir le mug de glaçons.</v>
      </c>
      <c r="W253" s="98"/>
      <c r="X253" s="98"/>
      <c r="Y253" s="98"/>
      <c r="Z253" s="98"/>
      <c r="AA253" s="98"/>
      <c r="AB253" s="98"/>
      <c r="AC253" s="98"/>
      <c r="AD253" s="98"/>
      <c r="AE253" s="98"/>
      <c r="AF253" s="98"/>
      <c r="AH253" s="165" t="s">
        <v>219</v>
      </c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</row>
    <row r="254" spans="1:45" ht="24.95" customHeight="1">
      <c r="A254" s="712"/>
      <c r="B254" s="95">
        <v>4</v>
      </c>
      <c r="C254" s="96" t="s">
        <v>7364</v>
      </c>
      <c r="D254" s="96"/>
      <c r="E254" s="96"/>
      <c r="F254" s="96"/>
      <c r="G254" s="96"/>
      <c r="H254" s="96"/>
      <c r="I254" s="96"/>
      <c r="J254" s="96"/>
      <c r="K254" s="96"/>
      <c r="L254" s="96"/>
      <c r="M254" s="74"/>
      <c r="N254" s="3"/>
      <c r="O254" s="18" t="s">
        <v>22</v>
      </c>
      <c r="P254" s="3"/>
      <c r="Q254" s="356" t="s">
        <v>564</v>
      </c>
      <c r="R254" s="3"/>
      <c r="S254" s="3"/>
      <c r="T254" s="3"/>
      <c r="U254" s="3"/>
      <c r="V254" s="98" t="str">
        <f t="shared" si="153"/>
        <v>Verser la vodka.</v>
      </c>
      <c r="W254" s="98"/>
      <c r="X254" s="98"/>
      <c r="Y254" s="98"/>
      <c r="Z254" s="98"/>
      <c r="AA254" s="98"/>
      <c r="AB254" s="98"/>
      <c r="AC254" s="98"/>
      <c r="AD254" s="98"/>
      <c r="AE254" s="98"/>
      <c r="AF254" s="98"/>
      <c r="AH254" s="166" t="s">
        <v>222</v>
      </c>
      <c r="AI254" s="167" t="s">
        <v>223</v>
      </c>
      <c r="AJ254" s="165"/>
      <c r="AK254" s="167" t="s">
        <v>224</v>
      </c>
      <c r="AL254" s="165"/>
      <c r="AM254" s="165"/>
      <c r="AN254" s="165"/>
      <c r="AO254" s="167" t="s">
        <v>225</v>
      </c>
      <c r="AP254" s="165"/>
      <c r="AQ254" s="165"/>
      <c r="AR254" s="165"/>
    </row>
    <row r="255" spans="1:45" ht="24.95" customHeight="1">
      <c r="A255" s="712"/>
      <c r="B255" s="95">
        <v>5</v>
      </c>
      <c r="C255" s="96" t="s">
        <v>7365</v>
      </c>
      <c r="D255" s="96"/>
      <c r="E255" s="96"/>
      <c r="F255" s="96"/>
      <c r="G255" s="96"/>
      <c r="H255" s="96"/>
      <c r="I255" s="96"/>
      <c r="J255" s="96"/>
      <c r="K255" s="96"/>
      <c r="L255" s="96"/>
      <c r="M255" s="74"/>
      <c r="N255" s="3"/>
      <c r="O255" s="20" t="s">
        <v>39</v>
      </c>
      <c r="P255" s="3"/>
      <c r="Q255"/>
      <c r="R255" s="3"/>
      <c r="S255" s="3"/>
      <c r="T255" s="3"/>
      <c r="U255" s="3"/>
      <c r="V255" s="98" t="str">
        <f t="shared" si="153"/>
        <v>Ajouter le jus de citron vert.</v>
      </c>
      <c r="W255" s="98"/>
      <c r="X255" s="98"/>
      <c r="Y255" s="98"/>
      <c r="Z255" s="98"/>
      <c r="AA255" s="98"/>
      <c r="AB255" s="98"/>
      <c r="AC255" s="98"/>
      <c r="AD255" s="98"/>
      <c r="AE255" s="98"/>
      <c r="AF255" s="98"/>
      <c r="AH255" s="750" t="s">
        <v>156</v>
      </c>
      <c r="AI255" s="748" t="s">
        <v>230</v>
      </c>
      <c r="AJ255" s="748"/>
      <c r="AK255" s="749" t="s">
        <v>231</v>
      </c>
      <c r="AL255" s="749"/>
      <c r="AM255" s="749"/>
      <c r="AN255" s="749"/>
      <c r="AO255" s="746" t="s">
        <v>232</v>
      </c>
      <c r="AP255" s="746"/>
      <c r="AQ255" s="746"/>
      <c r="AR255" s="746"/>
    </row>
    <row r="256" spans="1:45" ht="24.95" customHeight="1">
      <c r="A256" s="712"/>
      <c r="B256" s="95">
        <v>6</v>
      </c>
      <c r="C256" s="96" t="s">
        <v>7366</v>
      </c>
      <c r="D256" s="96"/>
      <c r="E256" s="96"/>
      <c r="F256" s="96"/>
      <c r="G256" s="96"/>
      <c r="H256" s="96"/>
      <c r="I256" s="96"/>
      <c r="J256" s="96"/>
      <c r="K256" s="96"/>
      <c r="L256" s="96"/>
      <c r="M256" s="74"/>
      <c r="N256" s="3"/>
      <c r="O256" s="20" t="s">
        <v>42</v>
      </c>
      <c r="P256" s="3"/>
      <c r="Q256" s="356" t="s">
        <v>72</v>
      </c>
      <c r="R256" s="3"/>
      <c r="S256" s="3"/>
      <c r="T256" s="3"/>
      <c r="U256" s="3"/>
      <c r="V256" s="98" t="str">
        <f t="shared" si="153"/>
        <v>Compléter avec le ginger beer.</v>
      </c>
      <c r="W256" s="98"/>
      <c r="X256" s="98"/>
      <c r="Y256" s="98"/>
      <c r="Z256" s="98"/>
      <c r="AA256" s="98"/>
      <c r="AB256" s="98"/>
      <c r="AC256" s="98"/>
      <c r="AD256" s="98"/>
      <c r="AE256" s="98"/>
      <c r="AF256" s="98"/>
      <c r="AH256" s="750"/>
      <c r="AI256" s="748"/>
      <c r="AJ256" s="748"/>
      <c r="AK256" s="749"/>
      <c r="AL256" s="749"/>
      <c r="AM256" s="749"/>
      <c r="AN256" s="749"/>
      <c r="AO256" s="746"/>
      <c r="AP256" s="746"/>
      <c r="AQ256" s="746"/>
      <c r="AR256" s="746"/>
    </row>
    <row r="257" spans="1:45" ht="24.95" customHeight="1">
      <c r="A257" s="712"/>
      <c r="B257" s="95">
        <v>7</v>
      </c>
      <c r="C257" s="96" t="s">
        <v>7367</v>
      </c>
      <c r="D257" s="96"/>
      <c r="E257" s="96"/>
      <c r="F257" s="96"/>
      <c r="G257" s="96"/>
      <c r="H257" s="96"/>
      <c r="I257" s="96"/>
      <c r="J257" s="96"/>
      <c r="K257" s="96"/>
      <c r="L257" s="96"/>
      <c r="M257" s="74"/>
      <c r="N257" s="3"/>
      <c r="O257" s="20" t="s">
        <v>45</v>
      </c>
      <c r="P257" s="3"/>
      <c r="Q257"/>
      <c r="R257" s="3"/>
      <c r="S257" s="3"/>
      <c r="T257" s="3"/>
      <c r="U257" s="3"/>
      <c r="V257" s="98" t="str">
        <f t="shared" si="153"/>
        <v>Mélanger délicatement.</v>
      </c>
      <c r="W257" s="98"/>
      <c r="X257" s="98"/>
      <c r="Y257" s="98"/>
      <c r="Z257" s="98"/>
      <c r="AA257" s="98"/>
      <c r="AB257" s="98"/>
      <c r="AC257" s="98"/>
      <c r="AD257" s="98"/>
      <c r="AE257" s="98"/>
      <c r="AF257" s="98"/>
      <c r="AH257" s="747" t="s">
        <v>492</v>
      </c>
      <c r="AI257" s="748" t="s">
        <v>241</v>
      </c>
      <c r="AJ257" s="748"/>
      <c r="AK257" s="749" t="s">
        <v>242</v>
      </c>
      <c r="AL257" s="749"/>
      <c r="AM257" s="749"/>
      <c r="AN257" s="749"/>
      <c r="AO257" s="746" t="s">
        <v>243</v>
      </c>
      <c r="AP257" s="746"/>
      <c r="AQ257" s="746"/>
      <c r="AR257" s="746"/>
    </row>
    <row r="258" spans="1:45" ht="24.95" customHeight="1">
      <c r="A258" s="712"/>
      <c r="B258" s="95">
        <v>8</v>
      </c>
      <c r="C258" s="96" t="s">
        <v>7368</v>
      </c>
      <c r="D258" s="96"/>
      <c r="E258" s="96"/>
      <c r="F258" s="96"/>
      <c r="G258" s="96"/>
      <c r="H258" s="96"/>
      <c r="I258" s="96"/>
      <c r="J258" s="96"/>
      <c r="K258" s="96"/>
      <c r="L258" s="96"/>
      <c r="M258" s="74"/>
      <c r="N258" s="3"/>
      <c r="O258" s="20" t="s">
        <v>48</v>
      </c>
      <c r="P258" s="3"/>
      <c r="Q258" s="356" t="s">
        <v>602</v>
      </c>
      <c r="R258" s="3"/>
      <c r="S258" s="3"/>
      <c r="T258" s="3"/>
      <c r="U258" s="3"/>
      <c r="V258" s="98" t="str">
        <f t="shared" si="153"/>
        <v>Ajouter la tranche de citron vert.</v>
      </c>
      <c r="W258" s="98"/>
      <c r="X258" s="98"/>
      <c r="Y258" s="98"/>
      <c r="Z258" s="98"/>
      <c r="AA258" s="98"/>
      <c r="AB258" s="98"/>
      <c r="AC258" s="98"/>
      <c r="AD258" s="98"/>
      <c r="AE258" s="98"/>
      <c r="AF258" s="98"/>
      <c r="AH258" s="747"/>
      <c r="AI258" s="748"/>
      <c r="AJ258" s="748"/>
      <c r="AK258" s="749"/>
      <c r="AL258" s="749"/>
      <c r="AM258" s="749"/>
      <c r="AN258" s="749"/>
      <c r="AO258" s="746"/>
      <c r="AP258" s="746"/>
      <c r="AQ258" s="746"/>
      <c r="AR258" s="746"/>
    </row>
    <row r="259" spans="1:45" ht="24.95" customHeight="1">
      <c r="A259" s="712"/>
      <c r="B259" s="101"/>
      <c r="C259" s="89"/>
      <c r="D259" s="89"/>
      <c r="E259" s="89"/>
      <c r="F259" s="89"/>
      <c r="G259" s="89"/>
      <c r="H259" s="89"/>
      <c r="I259" s="89"/>
      <c r="J259" s="89"/>
      <c r="K259" s="89"/>
      <c r="L259" s="89"/>
      <c r="M259" s="90"/>
      <c r="N259" s="3"/>
      <c r="O259" s="20" t="s">
        <v>50</v>
      </c>
      <c r="P259" s="3"/>
      <c r="Q259" s="183"/>
      <c r="R259" s="3"/>
      <c r="S259" s="3"/>
      <c r="T259" s="3"/>
      <c r="U259" s="3"/>
      <c r="V259" s="98" t="str">
        <f t="shared" si="153"/>
        <v>Contrôler la fraîcheur et servir.</v>
      </c>
      <c r="W259" s="98"/>
      <c r="X259" s="98"/>
      <c r="Y259" s="98"/>
      <c r="Z259" s="98"/>
      <c r="AA259" s="98"/>
      <c r="AB259" s="98"/>
      <c r="AC259" s="98"/>
      <c r="AD259" s="98"/>
      <c r="AE259" s="98"/>
      <c r="AF259" s="98"/>
      <c r="AH259" s="750" t="s">
        <v>6993</v>
      </c>
      <c r="AI259" s="748" t="s">
        <v>252</v>
      </c>
      <c r="AJ259" s="748"/>
      <c r="AK259" s="749" t="s">
        <v>253</v>
      </c>
      <c r="AL259" s="749"/>
      <c r="AM259" s="749"/>
      <c r="AN259" s="749"/>
      <c r="AO259" s="746" t="s">
        <v>254</v>
      </c>
      <c r="AP259" s="746"/>
      <c r="AQ259" s="746"/>
      <c r="AR259" s="746"/>
    </row>
    <row r="260" spans="1:45" ht="24.95" customHeight="1">
      <c r="A260" s="712"/>
      <c r="B260" s="10" t="s">
        <v>258</v>
      </c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92"/>
      <c r="N260" s="3"/>
      <c r="O260" s="20" t="s">
        <v>52</v>
      </c>
      <c r="P260" s="3"/>
      <c r="Q260" s="356" t="s">
        <v>609</v>
      </c>
      <c r="R260" s="3"/>
      <c r="S260" s="3"/>
      <c r="T260" s="3"/>
      <c r="U260" s="3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H260" s="750"/>
      <c r="AI260" s="748"/>
      <c r="AJ260" s="748"/>
      <c r="AK260" s="749"/>
      <c r="AL260" s="749"/>
      <c r="AM260" s="749"/>
      <c r="AN260" s="749"/>
      <c r="AO260" s="746"/>
      <c r="AP260" s="746"/>
      <c r="AQ260" s="746"/>
      <c r="AR260" s="746"/>
    </row>
    <row r="261" spans="1:45" ht="24.95" customHeight="1">
      <c r="A261" s="712"/>
      <c r="B261" s="102" t="s">
        <v>259</v>
      </c>
      <c r="C261" s="73" t="s">
        <v>33</v>
      </c>
      <c r="D261" s="73"/>
      <c r="E261" s="73"/>
      <c r="F261" s="73"/>
      <c r="G261" s="73"/>
      <c r="H261" s="73"/>
      <c r="I261" s="73"/>
      <c r="J261" s="73"/>
      <c r="K261" s="73"/>
      <c r="L261" s="73"/>
      <c r="M261" s="74"/>
      <c r="N261" s="3"/>
      <c r="O261" s="21" t="s">
        <v>54</v>
      </c>
      <c r="P261" s="3"/>
      <c r="R261" s="3"/>
      <c r="S261" s="3"/>
      <c r="T261" s="3"/>
      <c r="U261" s="3"/>
      <c r="V261" s="103" t="s">
        <v>260</v>
      </c>
      <c r="W261" s="103" t="s">
        <v>209</v>
      </c>
      <c r="X261" s="103"/>
      <c r="Y261" s="103"/>
      <c r="Z261" s="103"/>
      <c r="AA261" s="103"/>
      <c r="AB261" s="103"/>
      <c r="AC261" s="103"/>
      <c r="AD261" s="103"/>
      <c r="AE261" s="103"/>
      <c r="AF261" s="103"/>
      <c r="AH261" s="171" t="s">
        <v>261</v>
      </c>
      <c r="AI261" s="172"/>
      <c r="AJ261" s="165"/>
      <c r="AK261" s="165"/>
      <c r="AL261" s="165"/>
      <c r="AM261" s="165"/>
      <c r="AN261" s="165"/>
      <c r="AO261" s="165"/>
      <c r="AP261" s="165"/>
      <c r="AQ261" s="165"/>
      <c r="AR261" s="165"/>
    </row>
    <row r="262" spans="1:45" ht="24.95" customHeight="1">
      <c r="A262" s="712"/>
      <c r="B262" s="102" t="s">
        <v>262</v>
      </c>
      <c r="C262" s="73" t="s">
        <v>7337</v>
      </c>
      <c r="D262" s="73"/>
      <c r="E262" s="73"/>
      <c r="F262" s="73"/>
      <c r="G262" s="73"/>
      <c r="H262" s="73"/>
      <c r="I262" s="73"/>
      <c r="J262" s="73"/>
      <c r="K262" s="73"/>
      <c r="L262" s="73"/>
      <c r="M262" s="74"/>
      <c r="N262" s="3"/>
      <c r="O262" s="22" t="s">
        <v>56</v>
      </c>
      <c r="P262" s="3"/>
      <c r="Q262" s="3"/>
      <c r="R262" s="3"/>
      <c r="S262" s="3"/>
      <c r="T262" s="3"/>
      <c r="U262" s="3"/>
      <c r="V262" s="98" t="str">
        <f>IF(C261="","",C261)</f>
        <v>Copper Mug</v>
      </c>
      <c r="W262" s="98"/>
      <c r="X262" s="98"/>
      <c r="Y262" s="98"/>
      <c r="Z262" s="98"/>
      <c r="AA262" s="98"/>
      <c r="AB262" s="98"/>
      <c r="AC262" s="98"/>
      <c r="AD262" s="98"/>
      <c r="AE262" s="98"/>
      <c r="AF262" s="98"/>
      <c r="AH262" s="172" t="s">
        <v>264</v>
      </c>
      <c r="AI262" s="172"/>
      <c r="AJ262" s="165"/>
      <c r="AK262" s="172"/>
      <c r="AL262" s="165"/>
      <c r="AM262" s="165"/>
      <c r="AN262" s="165"/>
      <c r="AO262" s="172"/>
      <c r="AP262" s="165"/>
      <c r="AQ262" s="165"/>
      <c r="AR262" s="165"/>
    </row>
    <row r="263" spans="1:45" ht="24.95" customHeight="1">
      <c r="A263" s="712"/>
      <c r="B263" s="104" t="s">
        <v>267</v>
      </c>
      <c r="C263" s="105" t="s">
        <v>7277</v>
      </c>
      <c r="D263" s="73"/>
      <c r="E263" s="73"/>
      <c r="F263" s="73"/>
      <c r="G263" s="73"/>
      <c r="H263" s="73"/>
      <c r="I263" s="73"/>
      <c r="J263" s="73"/>
      <c r="K263" s="73"/>
      <c r="L263" s="73"/>
      <c r="M263" s="74"/>
      <c r="N263" s="3"/>
      <c r="O263" s="34" t="s">
        <v>75</v>
      </c>
      <c r="P263" s="3"/>
      <c r="Q263" s="3"/>
      <c r="R263" s="3"/>
      <c r="S263" s="3"/>
      <c r="T263" s="3"/>
      <c r="U263" s="3"/>
      <c r="V263" s="98" t="str">
        <f>IF(C262="","",C262)</f>
        <v>Doseur / jigger ; cuillère à mélange ; pince à glaçons</v>
      </c>
      <c r="W263" s="98"/>
      <c r="X263" s="98"/>
      <c r="Y263" s="98"/>
      <c r="Z263" s="98"/>
      <c r="AA263" s="98"/>
      <c r="AB263" s="98"/>
      <c r="AC263" s="98"/>
      <c r="AD263" s="98"/>
      <c r="AE263" s="98"/>
      <c r="AF263" s="98"/>
      <c r="AH263" s="172" t="s">
        <v>269</v>
      </c>
      <c r="AI263" s="172"/>
      <c r="AJ263" s="173"/>
      <c r="AK263" s="173"/>
      <c r="AL263" s="165"/>
      <c r="AM263" s="165"/>
      <c r="AN263" s="165"/>
      <c r="AO263" s="165"/>
      <c r="AP263" s="165"/>
      <c r="AQ263" s="165"/>
      <c r="AR263" s="165"/>
    </row>
    <row r="264" spans="1:45" ht="24.95" customHeight="1">
      <c r="A264" s="712"/>
      <c r="N264" s="3"/>
      <c r="O264" s="34" t="s">
        <v>85</v>
      </c>
      <c r="P264" s="3"/>
      <c r="Q264" s="3"/>
      <c r="R264" s="3"/>
      <c r="S264" s="3"/>
      <c r="T264" s="3"/>
      <c r="U264" s="3"/>
      <c r="V264" s="98" t="str">
        <f>IF(C263="","",C263)</f>
        <v>https://iba-world.com/</v>
      </c>
      <c r="W264" s="98"/>
      <c r="X264" s="98"/>
      <c r="Y264" s="98"/>
      <c r="Z264" s="98"/>
      <c r="AA264" s="98"/>
      <c r="AB264" s="98"/>
      <c r="AC264" s="98"/>
      <c r="AD264" s="98"/>
      <c r="AE264" s="98"/>
      <c r="AF264" s="98"/>
      <c r="AH264" s="168" t="s">
        <v>274</v>
      </c>
      <c r="AI264" s="165"/>
      <c r="AJ264" s="173"/>
      <c r="AK264" s="173"/>
      <c r="AL264" s="165"/>
      <c r="AM264" s="165"/>
      <c r="AN264" s="165"/>
      <c r="AO264" s="165"/>
      <c r="AP264" s="165"/>
      <c r="AQ264" s="165"/>
      <c r="AR264" s="165"/>
    </row>
    <row r="265" spans="1:45" ht="24.95" customHeight="1">
      <c r="A265" s="713"/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7" t="s">
        <v>272</v>
      </c>
      <c r="N265" s="3"/>
      <c r="O265" s="34" t="s">
        <v>97</v>
      </c>
      <c r="P265" s="3"/>
      <c r="Q265" s="3"/>
      <c r="R265" s="3"/>
      <c r="S265" s="3"/>
      <c r="T265" s="3"/>
      <c r="U265" s="3"/>
      <c r="V265" s="108" t="s">
        <v>277</v>
      </c>
      <c r="W265" s="108"/>
      <c r="X265" s="108"/>
      <c r="Y265" s="108"/>
      <c r="Z265" s="108"/>
      <c r="AA265" s="108"/>
      <c r="AB265" s="108"/>
      <c r="AC265" s="108"/>
      <c r="AD265" s="108"/>
      <c r="AE265" s="108"/>
      <c r="AF265" s="109" t="s">
        <v>277</v>
      </c>
      <c r="AH265" s="168" t="s">
        <v>278</v>
      </c>
      <c r="AI265" s="172"/>
      <c r="AJ265" s="173"/>
      <c r="AK265" s="173"/>
      <c r="AL265" s="165"/>
      <c r="AM265" s="165"/>
      <c r="AN265" s="165"/>
      <c r="AO265" s="165"/>
      <c r="AP265" s="165"/>
      <c r="AQ265" s="165"/>
      <c r="AR265" s="165"/>
    </row>
    <row r="266" spans="1:45" ht="24.95" customHeight="1">
      <c r="A266" s="715"/>
      <c r="B266" s="716"/>
      <c r="C266" s="716"/>
      <c r="D266" s="716"/>
      <c r="E266" s="716"/>
      <c r="F266" s="716"/>
      <c r="G266" s="716"/>
      <c r="H266" s="716"/>
      <c r="I266" s="716"/>
      <c r="J266" s="716"/>
      <c r="K266" s="716"/>
      <c r="L266" s="716"/>
      <c r="M266" s="716"/>
      <c r="N266" s="717"/>
      <c r="O266" s="53" t="s">
        <v>104</v>
      </c>
      <c r="P266" s="717"/>
      <c r="Q266" s="3"/>
      <c r="R266" s="3"/>
      <c r="S266" s="3"/>
      <c r="T266" s="3"/>
      <c r="U266" s="719"/>
      <c r="V266" s="761"/>
      <c r="W266" s="761"/>
      <c r="X266" s="761"/>
      <c r="Y266" s="720"/>
      <c r="Z266" s="721"/>
      <c r="AA266" s="721"/>
      <c r="AB266" s="721"/>
      <c r="AC266" s="721"/>
      <c r="AD266" s="721"/>
      <c r="AE266" s="721"/>
      <c r="AF266" s="721"/>
      <c r="AG266" s="719"/>
      <c r="AH266" s="718"/>
      <c r="AI266" s="718"/>
      <c r="AJ266" s="718"/>
      <c r="AK266" s="718"/>
      <c r="AL266" s="718"/>
      <c r="AM266" s="722"/>
      <c r="AN266" s="722"/>
      <c r="AO266" s="722"/>
      <c r="AP266" s="722"/>
      <c r="AQ266" s="722"/>
      <c r="AR266" s="722"/>
      <c r="AS266" s="722"/>
    </row>
    <row r="267" spans="1:45" ht="24.95" customHeight="1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53" t="s">
        <v>112</v>
      </c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</row>
    <row r="268" spans="1:45" ht="24.95" customHeight="1">
      <c r="A268" s="149" t="s">
        <v>59</v>
      </c>
      <c r="B268" s="711" t="s">
        <v>60</v>
      </c>
      <c r="C268" s="711"/>
      <c r="D268" s="711"/>
      <c r="E268" s="711"/>
      <c r="F268" s="711"/>
      <c r="G268" s="711"/>
      <c r="H268" s="711"/>
      <c r="I268" s="711"/>
      <c r="J268" s="711"/>
      <c r="K268" s="711"/>
      <c r="L268" s="711"/>
      <c r="M268" s="711"/>
      <c r="N268" s="3"/>
      <c r="O268" s="53" t="s">
        <v>117</v>
      </c>
      <c r="P268" s="3"/>
      <c r="Q268" s="10" t="s">
        <v>61</v>
      </c>
      <c r="R268" s="10"/>
      <c r="S268" s="10"/>
      <c r="T268" s="10"/>
      <c r="V268" s="861" t="s">
        <v>62</v>
      </c>
      <c r="W268" s="861"/>
      <c r="X268" s="861"/>
      <c r="Y268" s="23" t="s">
        <v>63</v>
      </c>
      <c r="Z268" s="24"/>
      <c r="AA268" s="24"/>
      <c r="AB268" s="24"/>
      <c r="AC268" s="24"/>
      <c r="AD268" s="24"/>
      <c r="AE268" s="24"/>
      <c r="AF268" s="24"/>
      <c r="AH268" s="25" t="s">
        <v>64</v>
      </c>
      <c r="AI268" s="25"/>
      <c r="AJ268" s="25" t="s">
        <v>65</v>
      </c>
      <c r="AK268" s="25"/>
      <c r="AL268" s="25"/>
      <c r="AM268" s="26"/>
      <c r="AN268" s="26"/>
      <c r="AO268" s="26"/>
      <c r="AP268" s="26"/>
      <c r="AQ268" s="26"/>
      <c r="AR268" s="26"/>
      <c r="AS268" s="26"/>
    </row>
    <row r="269" spans="1:45" ht="24.95" customHeight="1">
      <c r="A269" s="712"/>
      <c r="B269" s="27" t="s">
        <v>67</v>
      </c>
      <c r="C269" s="28" t="s">
        <v>7369</v>
      </c>
      <c r="D269" s="28"/>
      <c r="E269" s="27" t="s">
        <v>69</v>
      </c>
      <c r="F269" s="29" t="s">
        <v>70</v>
      </c>
      <c r="G269" s="30"/>
      <c r="H269" s="27" t="s">
        <v>71</v>
      </c>
      <c r="I269" s="729" t="s">
        <v>7272</v>
      </c>
      <c r="J269" s="30"/>
      <c r="K269" s="27" t="s">
        <v>73</v>
      </c>
      <c r="L269" s="32" t="s">
        <v>651</v>
      </c>
      <c r="M269" s="33"/>
      <c r="N269" s="3"/>
      <c r="O269" s="53" t="s">
        <v>125</v>
      </c>
      <c r="P269" s="3"/>
      <c r="Q269" s="14" t="s">
        <v>27</v>
      </c>
      <c r="R269" s="35">
        <v>24</v>
      </c>
      <c r="S269" s="15" t="s">
        <v>76</v>
      </c>
      <c r="T269" s="15"/>
      <c r="V269" s="831" t="s">
        <v>77</v>
      </c>
      <c r="W269" s="862" t="str">
        <f>C269</f>
        <v>COSMOPOLITAN</v>
      </c>
      <c r="X269" s="862"/>
      <c r="Y269" s="862"/>
      <c r="Z269" s="36" t="s">
        <v>78</v>
      </c>
      <c r="AA269" s="24" t="str">
        <f>F269</f>
        <v>AVEC ALCOOL</v>
      </c>
      <c r="AB269" s="24"/>
      <c r="AC269" s="831" t="s">
        <v>71</v>
      </c>
      <c r="AD269" s="37" t="str">
        <f>I269</f>
        <v>ALL DAY</v>
      </c>
      <c r="AE269" s="831" t="s">
        <v>73</v>
      </c>
      <c r="AF269" s="24" t="str">
        <f>L269</f>
        <v>STRAIGHT UP</v>
      </c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</row>
    <row r="270" spans="1:45" ht="24.95" customHeight="1">
      <c r="A270" s="712"/>
      <c r="B270" s="27" t="s">
        <v>80</v>
      </c>
      <c r="C270" s="38" t="s">
        <v>7370</v>
      </c>
      <c r="D270" s="30"/>
      <c r="E270" s="27" t="s">
        <v>82</v>
      </c>
      <c r="F270" s="39" t="s">
        <v>154</v>
      </c>
      <c r="G270" s="30"/>
      <c r="H270" s="27" t="s">
        <v>84</v>
      </c>
      <c r="I270" s="40">
        <v>1</v>
      </c>
      <c r="J270" s="41" t="s">
        <v>154</v>
      </c>
      <c r="K270" s="41"/>
      <c r="L270" s="42" t="s">
        <v>76</v>
      </c>
      <c r="M270" s="33"/>
      <c r="N270" s="3"/>
      <c r="O270" s="53" t="s">
        <v>133</v>
      </c>
      <c r="Q270" s="14" t="s">
        <v>31</v>
      </c>
      <c r="R270" s="35"/>
      <c r="S270" s="15" t="s">
        <v>86</v>
      </c>
      <c r="T270" s="15"/>
      <c r="V270" s="44" t="s">
        <v>87</v>
      </c>
      <c r="W270" s="150">
        <f>R274</f>
        <v>22</v>
      </c>
      <c r="X270" s="43" t="s">
        <v>88</v>
      </c>
      <c r="Y270" s="43"/>
      <c r="Z270" s="44" t="s">
        <v>89</v>
      </c>
      <c r="AA270" s="45">
        <f>R276</f>
        <v>1.3149999999999999</v>
      </c>
      <c r="AB270" s="46" t="s">
        <v>90</v>
      </c>
      <c r="AC270" s="44" t="s">
        <v>91</v>
      </c>
      <c r="AD270" s="45">
        <f>R271</f>
        <v>24</v>
      </c>
      <c r="AE270" s="47" t="s">
        <v>92</v>
      </c>
      <c r="AF270" s="43" t="str">
        <f>R278</f>
        <v>NOMBRE DE COCKTAILS</v>
      </c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</row>
    <row r="271" spans="1:45" ht="24.95" customHeight="1">
      <c r="A271" s="712"/>
      <c r="B271" s="27" t="s">
        <v>94</v>
      </c>
      <c r="C271" s="151" t="s">
        <v>7371</v>
      </c>
      <c r="D271" s="30"/>
      <c r="E271" s="30"/>
      <c r="F271" s="30"/>
      <c r="G271" s="30"/>
      <c r="H271" s="27" t="s">
        <v>96</v>
      </c>
      <c r="I271" s="48">
        <v>10</v>
      </c>
      <c r="J271" s="730" t="s">
        <v>32</v>
      </c>
      <c r="K271" s="30"/>
      <c r="L271" s="30"/>
      <c r="M271" s="33"/>
      <c r="N271" s="3"/>
      <c r="O271" s="53" t="s">
        <v>151</v>
      </c>
      <c r="Q271" s="14" t="s">
        <v>98</v>
      </c>
      <c r="R271" s="49">
        <f>IF(AND(ISNUMBER(R270),R270&gt;0),IFERROR(R270*1000/R272,0),IF(AND(ISNUMBER(R269),R269&gt;0,ISNUMBER(I270),I270&gt;0),R269/I270,1))</f>
        <v>24</v>
      </c>
      <c r="S271" s="50" t="s">
        <v>99</v>
      </c>
      <c r="T271" s="50"/>
      <c r="V271" s="44" t="s">
        <v>100</v>
      </c>
      <c r="W271" s="51">
        <f>IF(R272="","",R272/10)</f>
        <v>10</v>
      </c>
      <c r="X271" s="46" t="s">
        <v>32</v>
      </c>
      <c r="Y271" s="43"/>
      <c r="Z271" s="44" t="s">
        <v>101</v>
      </c>
      <c r="AA271" s="45">
        <f>R273</f>
        <v>10</v>
      </c>
      <c r="AB271" s="46" t="s">
        <v>32</v>
      </c>
      <c r="AC271" s="44" t="s">
        <v>102</v>
      </c>
      <c r="AD271" s="45">
        <f>R277</f>
        <v>24</v>
      </c>
      <c r="AE271" s="51"/>
      <c r="AF271" s="4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</row>
    <row r="272" spans="1:45" ht="24.95" customHeight="1">
      <c r="A272" s="712"/>
      <c r="B272" s="27"/>
      <c r="C272" s="52" t="str">
        <f>UPPER(LEFT(C269,1)) &amp; " . " &amp; UPPER(LEFT(C269,1)) &amp; LOWER(MID(C269,2,999)) &amp; " . " &amp; UPPER(LEFT(F269,1)) &amp; LOWER(MID(F269,2,999)) &amp; " . " &amp; UPPER(LEFT(I269,1)) &amp; LOWER(MID(I269,2,999)) &amp; " . " &amp; "Verre " &amp; UPPER(LEFT(F270,1)) &amp; LOWER(MID(F270,2,999)) &amp; IF(LEFT(L269,1)=UPPER(LEFT(L269,1)),".","") &amp; UPPER(LEFT(L269,1)) &amp; LOWER(MID(L269,2,999))&amp;"  couleur"&amp;" "&amp;C270&amp;"  intensité"&amp;" "&amp;C271</f>
        <v>C . Cosmopolitan . Avec alcool . All day . Verre Martini.Straight up  couleur rose framboise  intensité *** acidulé fruité</v>
      </c>
      <c r="D272" s="52"/>
      <c r="E272" s="52"/>
      <c r="F272" s="52"/>
      <c r="G272" s="52"/>
      <c r="H272" s="52"/>
      <c r="I272" s="52"/>
      <c r="J272" s="52"/>
      <c r="K272" s="52"/>
      <c r="L272" s="30"/>
      <c r="M272" s="33"/>
      <c r="N272" s="3"/>
      <c r="O272" s="53" t="s">
        <v>157</v>
      </c>
      <c r="Q272" s="14" t="s">
        <v>105</v>
      </c>
      <c r="R272" s="49">
        <f>SUMIF(AJ279:AJ285,"VOLUME",AL279:AL285)</f>
        <v>100</v>
      </c>
      <c r="S272" s="50" t="s">
        <v>22</v>
      </c>
      <c r="T272" s="50"/>
      <c r="V272" s="44" t="s">
        <v>96</v>
      </c>
      <c r="W272" s="51">
        <f>I271</f>
        <v>10</v>
      </c>
      <c r="X272" s="46" t="str">
        <f>J271</f>
        <v>cl</v>
      </c>
      <c r="Y272" s="43"/>
      <c r="Z272" s="44" t="s">
        <v>82</v>
      </c>
      <c r="AA272" s="54" t="str">
        <f>F270</f>
        <v>Martini</v>
      </c>
      <c r="AB272" s="43"/>
      <c r="AC272" s="44" t="s">
        <v>106</v>
      </c>
      <c r="AD272" s="45">
        <f>R279</f>
        <v>18</v>
      </c>
      <c r="AE272" s="46" t="s">
        <v>32</v>
      </c>
      <c r="AF272" s="4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</row>
    <row r="273" spans="1:45" ht="24.95" customHeight="1">
      <c r="A273" s="712"/>
      <c r="B273" s="27" t="s">
        <v>110</v>
      </c>
      <c r="C273" s="55" t="s">
        <v>7372</v>
      </c>
      <c r="D273" s="55"/>
      <c r="E273" s="154"/>
      <c r="F273" s="154"/>
      <c r="G273" s="154"/>
      <c r="H273" s="154"/>
      <c r="I273" s="154"/>
      <c r="J273" s="154"/>
      <c r="K273" s="154"/>
      <c r="L273" s="30"/>
      <c r="M273" s="33"/>
      <c r="N273" s="3"/>
      <c r="O273" s="53" t="s">
        <v>177</v>
      </c>
      <c r="Q273" s="14" t="s">
        <v>113</v>
      </c>
      <c r="R273" s="49">
        <f>IF(OR(R272=0,NOT(ISNUMBER(I270)),I270&lt;=0),"",R272/I270/10)</f>
        <v>10</v>
      </c>
      <c r="S273" s="50" t="s">
        <v>32</v>
      </c>
      <c r="T273" s="50"/>
      <c r="V273" s="44" t="s">
        <v>114</v>
      </c>
      <c r="W273" s="51" t="str">
        <f>IF(I271="","",IF(R279="","⚠ À CONTRÔLER",IF(I271&lt;=R279,"✔ OK","❌ DÉPASSE CAPACITÉ")))</f>
        <v>✔ OK</v>
      </c>
      <c r="X273" s="43"/>
      <c r="Y273" s="43"/>
      <c r="Z273" s="44"/>
      <c r="AA273" s="56"/>
      <c r="AB273" s="43"/>
      <c r="AC273" s="43"/>
      <c r="AD273" s="46"/>
      <c r="AE273" s="46"/>
      <c r="AF273" s="4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</row>
    <row r="274" spans="1:45" ht="24.95" customHeight="1">
      <c r="A274" s="712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3"/>
      <c r="N274" s="3"/>
      <c r="O274" s="53" t="s">
        <v>181</v>
      </c>
      <c r="Q274" s="14" t="s">
        <v>118</v>
      </c>
      <c r="R274" s="155">
        <f>IF(AN286=0,"",SUM(AQ279:AQ285)/AN286*100)</f>
        <v>22</v>
      </c>
      <c r="S274" s="50" t="s">
        <v>88</v>
      </c>
      <c r="T274" s="50"/>
      <c r="V274" s="44" t="s">
        <v>110</v>
      </c>
      <c r="W274" s="46" t="str">
        <f>C273</f>
        <v>Cocktail court fruité à base de vodka citron, triple sec, cranberry et citron vert</v>
      </c>
      <c r="X274" s="43"/>
      <c r="Y274" s="43"/>
      <c r="Z274" s="44"/>
      <c r="AA274" s="56"/>
      <c r="AB274" s="43"/>
      <c r="AC274" s="43"/>
      <c r="AD274" s="46"/>
      <c r="AE274" s="46"/>
      <c r="AF274" s="4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</row>
    <row r="275" spans="1:45" ht="24.95" customHeight="1">
      <c r="A275" s="712"/>
      <c r="B275" s="57" t="s">
        <v>121</v>
      </c>
      <c r="C275" s="58" t="s">
        <v>7276</v>
      </c>
      <c r="D275" s="58"/>
      <c r="E275" s="59"/>
      <c r="F275" s="57" t="s">
        <v>123</v>
      </c>
      <c r="G275" s="58" t="s">
        <v>7277</v>
      </c>
      <c r="H275" s="60"/>
      <c r="I275" s="60"/>
      <c r="J275" s="61"/>
      <c r="K275" s="61"/>
      <c r="L275" s="61"/>
      <c r="M275" s="62"/>
      <c r="N275" s="3"/>
      <c r="O275" s="53" t="s">
        <v>185</v>
      </c>
      <c r="Q275" s="14" t="s">
        <v>126</v>
      </c>
      <c r="R275" s="156">
        <f>SUM(AR279:AR285)</f>
        <v>31.56</v>
      </c>
      <c r="S275" s="50" t="s">
        <v>90</v>
      </c>
      <c r="T275" s="50"/>
      <c r="V275" s="44" t="s">
        <v>121</v>
      </c>
      <c r="W275" s="46" t="str">
        <f>C275</f>
        <v>Référence classique — adaptation CFA</v>
      </c>
      <c r="X275" s="43"/>
      <c r="Y275" s="43"/>
      <c r="Z275" s="44" t="s">
        <v>94</v>
      </c>
      <c r="AA275" s="54" t="str">
        <f>C271</f>
        <v>*** acidulé fruité</v>
      </c>
      <c r="AB275" s="43"/>
      <c r="AC275" s="759" t="str">
        <f>UPPER(LEFT(C269,1))&amp;" . "&amp;UPPER(LEFT(C269,1))&amp;LOWER(MID(C269,2,999))&amp;" . "&amp;UPPER(LEFT(F269,1))&amp;LOWER(MID(F269,2,999))&amp;" . "&amp;UPPER(LEFT(I269,1))&amp;LOWER(MID(I269,2,999))&amp;" . "&amp;"Verre "&amp;UPPER(LEFT(F270,1))&amp;LOWER(MID(F270,2,999))&amp;IF(LEFT(L269,1)=UPPER(LEFT(L269,1)),".","")&amp;UPPER(LEFT(L269,1))&amp;LOWER(MID(L269,2,999))&amp;"  couleur "&amp;C270&amp;"  intensité "&amp;C271</f>
        <v>C . Cosmopolitan . Avec alcool . All day . Verre Martini.Straight up  couleur rose framboise  intensité *** acidulé fruité</v>
      </c>
      <c r="AD275" s="759"/>
      <c r="AE275" s="759"/>
      <c r="AF275" s="759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</row>
    <row r="276" spans="1:45" ht="24.95" customHeight="1">
      <c r="A276" s="712"/>
      <c r="B276" s="10" t="s">
        <v>131</v>
      </c>
      <c r="C276" s="10" t="s">
        <v>132</v>
      </c>
      <c r="D276" s="10"/>
      <c r="E276" s="10"/>
      <c r="F276" s="10"/>
      <c r="G276" s="10"/>
      <c r="H276" s="10"/>
      <c r="I276" s="10"/>
      <c r="J276" s="11" t="str">
        <f>IF(COUNTIF(C278:C284,"*~**")+COUNTIF(C278:C284,"*~?*")=0,"",IF(COUNTIF(C278:C284,"*~**")&gt;0,COUNTIF(C278:C284,"*~**")&amp;" allergène"&amp;IF(COUNTIF(C278:C284,"*~**")&gt;1,"s","")&amp;" repéré"&amp;IF(COUNTIF(C278:C284,"*~**")&gt;1,"s","")&amp;" par *","")&amp;IF(AND(COUNTIF(C278:C284,"*~**")&gt;0,COUNTIF(C278:C284,"*~?*")&gt;0)," | ","")&amp;IF(COUNTIF(C278:C284,"*~?*")&gt;0,COUNTIF(C278:C284,"*~?*")&amp;" produit"&amp;IF(COUNTIF(C278:C284,"*~?*")&gt;1,"s","")&amp;" à vérifier par ?",""))</f>
        <v/>
      </c>
      <c r="K276" s="10"/>
      <c r="L276" s="10"/>
      <c r="M276" s="63"/>
      <c r="N276" s="3"/>
      <c r="O276" s="53" t="s">
        <v>189</v>
      </c>
      <c r="Q276" s="14" t="s">
        <v>134</v>
      </c>
      <c r="R276" s="156">
        <f>IF(OR(R275="",R277="",R277=0),"",R275/R277)</f>
        <v>1.3149999999999999</v>
      </c>
      <c r="S276" s="50" t="s">
        <v>135</v>
      </c>
      <c r="T276" s="50"/>
      <c r="V276" s="852" t="s">
        <v>136</v>
      </c>
      <c r="W276" s="853">
        <f>R275</f>
        <v>31.56</v>
      </c>
      <c r="X276" s="854" t="s">
        <v>90</v>
      </c>
      <c r="Y276" s="43"/>
      <c r="Z276" s="44" t="s">
        <v>137</v>
      </c>
      <c r="AA276" s="54" t="str">
        <f>C269</f>
        <v>COSMOPOLITAN</v>
      </c>
      <c r="AB276" s="43"/>
      <c r="AC276" s="759"/>
      <c r="AD276" s="759"/>
      <c r="AE276" s="759"/>
      <c r="AF276" s="759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</row>
    <row r="277" spans="1:45" ht="24.95" customHeight="1">
      <c r="A277" s="712"/>
      <c r="B277" s="66">
        <v>0</v>
      </c>
      <c r="C277" s="64" t="s">
        <v>141</v>
      </c>
      <c r="D277" s="65" t="s">
        <v>142</v>
      </c>
      <c r="E277" s="64" t="s">
        <v>9</v>
      </c>
      <c r="F277" s="66" t="s">
        <v>143</v>
      </c>
      <c r="G277" s="66" t="s">
        <v>144</v>
      </c>
      <c r="H277" s="66" t="s">
        <v>145</v>
      </c>
      <c r="I277" s="67" t="s">
        <v>146</v>
      </c>
      <c r="J277" s="67" t="s">
        <v>847</v>
      </c>
      <c r="K277" s="67" t="s">
        <v>148</v>
      </c>
      <c r="L277" s="67" t="s">
        <v>149</v>
      </c>
      <c r="M277" s="68" t="s">
        <v>150</v>
      </c>
      <c r="N277" s="3"/>
      <c r="O277" s="53" t="s">
        <v>192</v>
      </c>
      <c r="Q277" s="14" t="s">
        <v>152</v>
      </c>
      <c r="R277" s="49">
        <f>IF(AND(ISNUMBER(R270),R270&gt;0,ISNUMBER(I271),I271&gt;0),R270*1000/(I271*10),IF(AND(ISNUMBER(R269),R269&gt;0),R269,""))</f>
        <v>24</v>
      </c>
      <c r="S277" s="50" t="s">
        <v>76</v>
      </c>
      <c r="T277" s="50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H277" s="25" t="s">
        <v>153</v>
      </c>
      <c r="AI277" s="25"/>
      <c r="AJ277" s="25" t="s">
        <v>490</v>
      </c>
      <c r="AK277" s="25"/>
      <c r="AL277" s="25"/>
      <c r="AM277" s="25"/>
      <c r="AN277" s="26"/>
      <c r="AO277" s="26"/>
      <c r="AP277" s="26"/>
      <c r="AQ277" s="26"/>
      <c r="AR277" s="26"/>
      <c r="AS277" s="26"/>
    </row>
    <row r="278" spans="1:45" ht="24.95" customHeight="1">
      <c r="A278" s="712"/>
      <c r="B278" s="731">
        <v>1</v>
      </c>
      <c r="C278" s="70" t="s">
        <v>7373</v>
      </c>
      <c r="D278" s="79">
        <v>4</v>
      </c>
      <c r="E278" s="18" t="s">
        <v>32</v>
      </c>
      <c r="F278" s="72">
        <v>40</v>
      </c>
      <c r="G278" s="732">
        <v>0.95</v>
      </c>
      <c r="H278" s="733" t="s">
        <v>156</v>
      </c>
      <c r="I278" s="161">
        <v>20</v>
      </c>
      <c r="J278" s="73"/>
      <c r="K278" s="73"/>
      <c r="L278" s="73"/>
      <c r="M278" s="74"/>
      <c r="N278" s="3"/>
      <c r="O278" s="53" t="s">
        <v>195</v>
      </c>
      <c r="Q278" s="14" t="s">
        <v>158</v>
      </c>
      <c r="R278" s="75" t="str">
        <f>IF(AND(ISNUMBER(R270),R270&gt;0),"VOLUME TOTAL",IF(AND(ISNUMBER(R269),R269&gt;0),"NOMBRE DE COCKTAILS","RÉFÉRENCE"))</f>
        <v>NOMBRE DE COCKTAILS</v>
      </c>
      <c r="S278" s="50"/>
      <c r="T278" s="50"/>
      <c r="V278" s="831" t="s">
        <v>159</v>
      </c>
      <c r="W278" s="36" t="s">
        <v>160</v>
      </c>
      <c r="X278" s="76" t="s">
        <v>161</v>
      </c>
      <c r="Y278" s="835" t="s">
        <v>162</v>
      </c>
      <c r="Z278" s="838" t="s">
        <v>163</v>
      </c>
      <c r="AA278" s="36" t="s">
        <v>164</v>
      </c>
      <c r="AB278" s="36" t="s">
        <v>9</v>
      </c>
      <c r="AC278" s="841" t="s">
        <v>165</v>
      </c>
      <c r="AD278" s="296" t="s">
        <v>166</v>
      </c>
      <c r="AE278" s="36" t="s">
        <v>146</v>
      </c>
      <c r="AF278" s="833" t="s">
        <v>167</v>
      </c>
      <c r="AH278" s="77" t="s">
        <v>168</v>
      </c>
      <c r="AI278" s="78" t="s">
        <v>159</v>
      </c>
      <c r="AJ278" s="77" t="s">
        <v>10</v>
      </c>
      <c r="AK278" s="77" t="s">
        <v>169</v>
      </c>
      <c r="AL278" s="77" t="s">
        <v>170</v>
      </c>
      <c r="AM278" s="77" t="s">
        <v>91</v>
      </c>
      <c r="AN278" s="78" t="s">
        <v>161</v>
      </c>
      <c r="AO278" s="77" t="s">
        <v>171</v>
      </c>
      <c r="AP278" s="77" t="s">
        <v>172</v>
      </c>
      <c r="AQ278" s="77" t="s">
        <v>165</v>
      </c>
      <c r="AR278" s="77" t="s">
        <v>167</v>
      </c>
      <c r="AS278" s="77" t="s">
        <v>173</v>
      </c>
    </row>
    <row r="279" spans="1:45" ht="24.95" customHeight="1">
      <c r="A279" s="712"/>
      <c r="B279" s="734">
        <v>2</v>
      </c>
      <c r="C279" s="70" t="s">
        <v>834</v>
      </c>
      <c r="D279" s="79">
        <v>1.5</v>
      </c>
      <c r="E279" s="18" t="s">
        <v>32</v>
      </c>
      <c r="F279" s="72">
        <v>40</v>
      </c>
      <c r="G279" s="732">
        <v>0.95</v>
      </c>
      <c r="H279" s="733" t="s">
        <v>156</v>
      </c>
      <c r="I279" s="161">
        <v>22</v>
      </c>
      <c r="J279" s="73"/>
      <c r="K279" s="73"/>
      <c r="L279" s="73"/>
      <c r="M279" s="74"/>
      <c r="N279" s="3"/>
      <c r="O279" s="53" t="s">
        <v>199</v>
      </c>
      <c r="Q279" s="14" t="s">
        <v>35</v>
      </c>
      <c r="R279" s="35">
        <f>IFERROR(VLOOKUP(F270,$BB$5:$BC$40,2,FALSE),"")</f>
        <v>18</v>
      </c>
      <c r="S279" s="50" t="s">
        <v>32</v>
      </c>
      <c r="T279" s="50"/>
      <c r="V279" s="846" t="str">
        <f t="shared" ref="V279:V285" si="154">IF(AI279="","",AI279)</f>
        <v>Vodka citron</v>
      </c>
      <c r="W279" s="848" t="str">
        <f t="shared" ref="W279:W285" si="155">IF(C278="","",IF(H278="QS","QS",D278&amp;" "&amp;E278))</f>
        <v>4 cl</v>
      </c>
      <c r="X279" s="81">
        <f t="shared" ref="X279:X285" si="156">IF(AN279="","",AN279)</f>
        <v>960</v>
      </c>
      <c r="Y279" s="836" t="str">
        <f t="shared" ref="Y279:Y285" si="157">IF(C278="","",IF(H278="QS","Qt. suffisante",IF(AN279="","",IF(AJ279="VOLUME",IF(AN279&gt;=1000,TEXT(AO279,"0.00")&amp;" "&amp;AP279,IF(AN279&gt;=10,TEXT(AO279,"0.0")&amp;" "&amp;AP279&amp;" ► "&amp;TEXT(AN279/1000,"0.000")&amp;" L",TEXT(AO279,"0.0")&amp;" "&amp;AP279)),IF(AJ279="MASSE",TEXT(AO279,"0.00")&amp;" "&amp;AP279,AO279&amp;" "&amp;AP279)))))</f>
        <v>96.0 cl ► 0.960 L</v>
      </c>
      <c r="Z279" s="839" t="str">
        <f>IF(OR(C278="",AJ279&lt;&gt;"VOLUME",AN286=0),"","≈ "&amp;TEXT(ROUND(AN279/AN286*10*2,0)/2,"0.0")&amp;"/10")</f>
        <v>≈ 4.0/10</v>
      </c>
      <c r="AA279" s="82" t="str">
        <f t="shared" ref="AA279:AA285" si="158">IF(AJ279="AUTRE",AO279,"")</f>
        <v/>
      </c>
      <c r="AB279" s="83" t="str">
        <f t="shared" ref="AB279:AB285" si="159">IF(C278="","",AP279)</f>
        <v>cl</v>
      </c>
      <c r="AC279" s="842">
        <f t="shared" ref="AC279:AC285" si="160">IF(C278="","",AQ279)</f>
        <v>384</v>
      </c>
      <c r="AD279" s="163">
        <f t="shared" ref="AD279:AD285" si="161">IF(C278="","",IF(ISNUMBER(F278),F278,0))</f>
        <v>40</v>
      </c>
      <c r="AE279" s="164">
        <f t="shared" ref="AE279:AE285" si="162">IF(C278="","",IF(ISNUMBER(I278),I278,""))</f>
        <v>20</v>
      </c>
      <c r="AF279" s="855">
        <f t="shared" ref="AF279:AF285" si="163">IF(C278="","",AR279)</f>
        <v>19.2</v>
      </c>
      <c r="AH279" s="84">
        <f t="shared" ref="AH279:AH285" si="164">IF(C278="","",B278)</f>
        <v>1</v>
      </c>
      <c r="AI279" s="85" t="str">
        <f t="shared" ref="AI279:AI285" si="165">IF(C278="","",C278)</f>
        <v>Vodka citron</v>
      </c>
      <c r="AJ279" s="84" t="str">
        <f t="shared" ref="AJ279:AJ285" si="166">IF(C278="","",IFERROR(VLOOKUP(E278,$AU$5:$AY$121,2,FALSE),"UNITÉ ?"))</f>
        <v>VOLUME</v>
      </c>
      <c r="AK279" s="84">
        <f t="shared" ref="AK279:AK285" si="167">IF(C278="","",IFERROR(VLOOKUP(E278,$AU$5:$AY$121,3,FALSE),""))</f>
        <v>10</v>
      </c>
      <c r="AL279" s="84">
        <f t="shared" ref="AL279:AL285" si="168">IF(OR(C278="",H278="QS",NOT(ISNUMBER(D278))),"",D278*AK279)</f>
        <v>40</v>
      </c>
      <c r="AM279" s="84">
        <f>IF(C278="","",R271)</f>
        <v>24</v>
      </c>
      <c r="AN279" s="84">
        <f t="shared" ref="AN279:AN285" si="169">IF(C278="","",IF(H278="QS","",IF(AL279="","",IF(OR(H278="F",H278="FIXE"),AL279,AL279*AM279))))</f>
        <v>960</v>
      </c>
      <c r="AO279" s="84">
        <f t="shared" ref="AO279:AO285" si="170">IF(C278="","",IF(H278="QS","",IF(AN279="","",IF(AJ279="VOLUME",IF(AN279&gt;=1000,ROUND(AN279/1000,2),IF(AN279&gt;=10,ROUND(AN279/10,1),ROUND(AN279,1))),IF(AJ279="MASSE",IF(AN279&gt;=1000,ROUND(AN279/1000,2),ROUND(AN279,0)),ROUND(AN279,2))))))</f>
        <v>96</v>
      </c>
      <c r="AP279" s="84" t="str">
        <f t="shared" ref="AP279:AP285" si="171">IF(C278="","",IF(H278="QS","",IF(AN279="","",IF(AJ279="VOLUME",IF(AN279&gt;=1000,"L",IF(AN279&gt;=10,"cl","ml")),IF(AJ279="MASSE",IF(AN279&gt;=1000,"Kg","g"),IFERROR(VLOOKUP(E278,$AU$5:$AY$121,5,FALSE),E278))))))</f>
        <v>cl</v>
      </c>
      <c r="AQ279" s="84">
        <f t="shared" ref="AQ279:AQ285" si="172">IF(C278="","",IF(OR(AJ279&lt;&gt;"VOLUME",NOT(ISNUMBER(F278)),AN279=""),0,AN279*F278/100))</f>
        <v>384</v>
      </c>
      <c r="AR279" s="84">
        <f t="shared" ref="AR279:AR285" si="173">IF(C278="","",IF(H278="QS",0,IF(NOT(ISNUMBER(I278)),0,IF(OR(AJ279="VOLUME",AJ279="MASSE"),AN279/1000*I278,AN279*I278))))</f>
        <v>19.2</v>
      </c>
      <c r="AS279" s="84" t="str">
        <f t="shared" ref="AS279:AS285" si="174">IF(C278="","",IF(H278="QS","OK",IF(NOT(ISNUMBER(D278)),"QUANTITÉ ?",IF(E278="","UNITÉ ?",IF(AJ279="UNITÉ ?","UNITÉ ?",IF(AND(H278&lt;&gt;"",H278&lt;&gt;"PROP",H278&lt;&gt;"F",H278&lt;&gt;"FIXE",H278&lt;&gt;"QS"),"RÈGLE ?","OK"))))))</f>
        <v>OK</v>
      </c>
    </row>
    <row r="280" spans="1:45" ht="24.95" customHeight="1">
      <c r="A280" s="712"/>
      <c r="B280" s="731">
        <v>3</v>
      </c>
      <c r="C280" s="70" t="s">
        <v>7374</v>
      </c>
      <c r="D280" s="79">
        <v>3</v>
      </c>
      <c r="E280" s="18" t="s">
        <v>32</v>
      </c>
      <c r="F280" s="72">
        <v>0</v>
      </c>
      <c r="G280" s="732">
        <v>1.04</v>
      </c>
      <c r="H280" s="733" t="s">
        <v>156</v>
      </c>
      <c r="I280" s="161">
        <v>3</v>
      </c>
      <c r="J280" s="73"/>
      <c r="K280" s="73"/>
      <c r="L280" s="73"/>
      <c r="M280" s="74"/>
      <c r="N280" s="3"/>
      <c r="O280" s="53" t="s">
        <v>202</v>
      </c>
      <c r="V280" s="846" t="str">
        <f t="shared" si="154"/>
        <v>Triple sec</v>
      </c>
      <c r="W280" s="848" t="str">
        <f t="shared" si="155"/>
        <v>1.5 cl</v>
      </c>
      <c r="X280" s="81">
        <f t="shared" si="156"/>
        <v>360</v>
      </c>
      <c r="Y280" s="836" t="str">
        <f t="shared" si="157"/>
        <v>36.0 cl ► 0.360 L</v>
      </c>
      <c r="Z280" s="839" t="str">
        <f>IF(OR(C279="",AJ280&lt;&gt;"VOLUME",AN286=0),"","≈ "&amp;TEXT(ROUND(AN280/AN286*10*2,0)/2,"0.0")&amp;"/10")</f>
        <v>≈ 1.5/10</v>
      </c>
      <c r="AA280" s="82" t="str">
        <f t="shared" si="158"/>
        <v/>
      </c>
      <c r="AB280" s="83" t="str">
        <f t="shared" si="159"/>
        <v>cl</v>
      </c>
      <c r="AC280" s="842">
        <f t="shared" si="160"/>
        <v>144</v>
      </c>
      <c r="AD280" s="163">
        <f t="shared" si="161"/>
        <v>40</v>
      </c>
      <c r="AE280" s="164">
        <f t="shared" si="162"/>
        <v>22</v>
      </c>
      <c r="AF280" s="855">
        <f t="shared" si="163"/>
        <v>7.92</v>
      </c>
      <c r="AH280" s="84">
        <f t="shared" si="164"/>
        <v>2</v>
      </c>
      <c r="AI280" s="85" t="str">
        <f t="shared" si="165"/>
        <v>Triple sec</v>
      </c>
      <c r="AJ280" s="84" t="str">
        <f t="shared" si="166"/>
        <v>VOLUME</v>
      </c>
      <c r="AK280" s="84">
        <f t="shared" si="167"/>
        <v>10</v>
      </c>
      <c r="AL280" s="84">
        <f t="shared" si="168"/>
        <v>15</v>
      </c>
      <c r="AM280" s="84">
        <f>IF(C279="","",R271)</f>
        <v>24</v>
      </c>
      <c r="AN280" s="84">
        <f t="shared" si="169"/>
        <v>360</v>
      </c>
      <c r="AO280" s="84">
        <f t="shared" si="170"/>
        <v>36</v>
      </c>
      <c r="AP280" s="84" t="str">
        <f t="shared" si="171"/>
        <v>cl</v>
      </c>
      <c r="AQ280" s="84">
        <f t="shared" si="172"/>
        <v>144</v>
      </c>
      <c r="AR280" s="84">
        <f t="shared" si="173"/>
        <v>7.92</v>
      </c>
      <c r="AS280" s="84" t="str">
        <f t="shared" si="174"/>
        <v>OK</v>
      </c>
    </row>
    <row r="281" spans="1:45" ht="24.95" customHeight="1">
      <c r="A281" s="712"/>
      <c r="B281" s="734">
        <v>4</v>
      </c>
      <c r="C281" s="70" t="s">
        <v>7279</v>
      </c>
      <c r="D281" s="79">
        <v>1.5</v>
      </c>
      <c r="E281" s="18" t="s">
        <v>32</v>
      </c>
      <c r="F281" s="72">
        <v>0</v>
      </c>
      <c r="G281" s="732">
        <v>1.03</v>
      </c>
      <c r="H281" s="733" t="s">
        <v>156</v>
      </c>
      <c r="I281" s="161">
        <v>3</v>
      </c>
      <c r="J281" s="73"/>
      <c r="K281" s="73"/>
      <c r="L281" s="73"/>
      <c r="M281" s="74"/>
      <c r="N281" s="3"/>
      <c r="O281" s="53" t="s">
        <v>207</v>
      </c>
      <c r="Q281" s="744" t="s">
        <v>566</v>
      </c>
      <c r="V281" s="846" t="str">
        <f t="shared" si="154"/>
        <v>Jus de cranberry</v>
      </c>
      <c r="W281" s="848" t="str">
        <f t="shared" si="155"/>
        <v>3 cl</v>
      </c>
      <c r="X281" s="81">
        <f t="shared" si="156"/>
        <v>720</v>
      </c>
      <c r="Y281" s="836" t="str">
        <f t="shared" si="157"/>
        <v>72.0 cl ► 0.720 L</v>
      </c>
      <c r="Z281" s="839" t="str">
        <f>IF(OR(C280="",AJ281&lt;&gt;"VOLUME",AN286=0),"","≈ "&amp;TEXT(ROUND(AN281/AN286*10*2,0)/2,"0.0")&amp;"/10")</f>
        <v>≈ 3.0/10</v>
      </c>
      <c r="AA281" s="82" t="str">
        <f t="shared" si="158"/>
        <v/>
      </c>
      <c r="AB281" s="83" t="str">
        <f t="shared" si="159"/>
        <v>cl</v>
      </c>
      <c r="AC281" s="842">
        <f t="shared" si="160"/>
        <v>0</v>
      </c>
      <c r="AD281" s="163">
        <f t="shared" si="161"/>
        <v>0</v>
      </c>
      <c r="AE281" s="164">
        <f t="shared" si="162"/>
        <v>3</v>
      </c>
      <c r="AF281" s="855">
        <f t="shared" si="163"/>
        <v>2.16</v>
      </c>
      <c r="AH281" s="84">
        <f t="shared" si="164"/>
        <v>3</v>
      </c>
      <c r="AI281" s="85" t="str">
        <f t="shared" si="165"/>
        <v>Jus de cranberry</v>
      </c>
      <c r="AJ281" s="84" t="str">
        <f t="shared" si="166"/>
        <v>VOLUME</v>
      </c>
      <c r="AK281" s="84">
        <f t="shared" si="167"/>
        <v>10</v>
      </c>
      <c r="AL281" s="84">
        <f t="shared" si="168"/>
        <v>30</v>
      </c>
      <c r="AM281" s="84">
        <f>IF(C280="","",R271)</f>
        <v>24</v>
      </c>
      <c r="AN281" s="84">
        <f t="shared" si="169"/>
        <v>720</v>
      </c>
      <c r="AO281" s="84">
        <f t="shared" si="170"/>
        <v>72</v>
      </c>
      <c r="AP281" s="84" t="str">
        <f t="shared" si="171"/>
        <v>cl</v>
      </c>
      <c r="AQ281" s="84">
        <f t="shared" si="172"/>
        <v>0</v>
      </c>
      <c r="AR281" s="84">
        <f t="shared" si="173"/>
        <v>2.16</v>
      </c>
      <c r="AS281" s="84" t="str">
        <f t="shared" si="174"/>
        <v>OK</v>
      </c>
    </row>
    <row r="282" spans="1:45" ht="24.95" customHeight="1">
      <c r="A282" s="712"/>
      <c r="B282" s="731">
        <v>5</v>
      </c>
      <c r="C282" s="70" t="s">
        <v>7328</v>
      </c>
      <c r="D282" s="79">
        <v>1</v>
      </c>
      <c r="E282" s="53" t="s">
        <v>236</v>
      </c>
      <c r="F282" s="72"/>
      <c r="G282" s="732">
        <v>1</v>
      </c>
      <c r="H282" s="733" t="s">
        <v>156</v>
      </c>
      <c r="I282" s="161">
        <v>0.05</v>
      </c>
      <c r="J282" s="73"/>
      <c r="K282" s="73" t="s">
        <v>7314</v>
      </c>
      <c r="L282" s="73"/>
      <c r="M282" s="74"/>
      <c r="N282" s="3"/>
      <c r="O282" s="53" t="s">
        <v>213</v>
      </c>
      <c r="Q282" s="744"/>
      <c r="V282" s="846" t="str">
        <f t="shared" si="154"/>
        <v>Jus de citron vert</v>
      </c>
      <c r="W282" s="848" t="str">
        <f t="shared" si="155"/>
        <v>1.5 cl</v>
      </c>
      <c r="X282" s="81">
        <f t="shared" si="156"/>
        <v>360</v>
      </c>
      <c r="Y282" s="836" t="str">
        <f t="shared" si="157"/>
        <v>36.0 cl ► 0.360 L</v>
      </c>
      <c r="Z282" s="839" t="str">
        <f>IF(OR(C281="",AJ282&lt;&gt;"VOLUME",AN286=0),"","≈ "&amp;TEXT(ROUND(AN282/AN286*10*2,0)/2,"0.0")&amp;"/10")</f>
        <v>≈ 1.5/10</v>
      </c>
      <c r="AA282" s="82" t="str">
        <f t="shared" si="158"/>
        <v/>
      </c>
      <c r="AB282" s="83" t="str">
        <f t="shared" si="159"/>
        <v>cl</v>
      </c>
      <c r="AC282" s="842">
        <f t="shared" si="160"/>
        <v>0</v>
      </c>
      <c r="AD282" s="163">
        <f t="shared" si="161"/>
        <v>0</v>
      </c>
      <c r="AE282" s="164">
        <f t="shared" si="162"/>
        <v>3</v>
      </c>
      <c r="AF282" s="855">
        <f t="shared" si="163"/>
        <v>1.08</v>
      </c>
      <c r="AH282" s="84">
        <f t="shared" si="164"/>
        <v>4</v>
      </c>
      <c r="AI282" s="85" t="str">
        <f t="shared" si="165"/>
        <v>Jus de citron vert</v>
      </c>
      <c r="AJ282" s="84" t="str">
        <f t="shared" si="166"/>
        <v>VOLUME</v>
      </c>
      <c r="AK282" s="84">
        <f t="shared" si="167"/>
        <v>10</v>
      </c>
      <c r="AL282" s="84">
        <f t="shared" si="168"/>
        <v>15</v>
      </c>
      <c r="AM282" s="84">
        <f>IF(C281="","",R271)</f>
        <v>24</v>
      </c>
      <c r="AN282" s="84">
        <f t="shared" si="169"/>
        <v>360</v>
      </c>
      <c r="AO282" s="84">
        <f t="shared" si="170"/>
        <v>36</v>
      </c>
      <c r="AP282" s="84" t="str">
        <f t="shared" si="171"/>
        <v>cl</v>
      </c>
      <c r="AQ282" s="84">
        <f t="shared" si="172"/>
        <v>0</v>
      </c>
      <c r="AR282" s="84">
        <f t="shared" si="173"/>
        <v>1.08</v>
      </c>
      <c r="AS282" s="84" t="str">
        <f t="shared" si="174"/>
        <v>OK</v>
      </c>
    </row>
    <row r="283" spans="1:45" ht="24.95" customHeight="1">
      <c r="A283" s="712"/>
      <c r="B283" s="734"/>
      <c r="C283" s="70"/>
      <c r="D283" s="79"/>
      <c r="E283" s="3"/>
      <c r="F283" s="72"/>
      <c r="G283" s="732"/>
      <c r="H283" s="733"/>
      <c r="I283" s="161"/>
      <c r="J283" s="73"/>
      <c r="K283" s="73"/>
      <c r="L283" s="73"/>
      <c r="M283" s="74"/>
      <c r="N283" s="3"/>
      <c r="O283" s="53" t="s">
        <v>218</v>
      </c>
      <c r="V283" s="846" t="str">
        <f t="shared" si="154"/>
        <v>Zeste d'orange</v>
      </c>
      <c r="W283" s="848" t="str">
        <f t="shared" si="155"/>
        <v>1 Zeste(s)</v>
      </c>
      <c r="X283" s="81">
        <f t="shared" si="156"/>
        <v>24</v>
      </c>
      <c r="Y283" s="836" t="str">
        <f t="shared" si="157"/>
        <v>24 zeste(s)</v>
      </c>
      <c r="Z283" s="839" t="str">
        <f>IF(OR(C282="",AJ283&lt;&gt;"VOLUME",AN286=0),"","≈ "&amp;TEXT(ROUND(AN283/AN286*10*2,0)/2,"0.0")&amp;"/10")</f>
        <v/>
      </c>
      <c r="AA283" s="80">
        <f t="shared" si="158"/>
        <v>24</v>
      </c>
      <c r="AB283" s="83" t="str">
        <f t="shared" si="159"/>
        <v>zeste(s)</v>
      </c>
      <c r="AC283" s="842">
        <f t="shared" si="160"/>
        <v>0</v>
      </c>
      <c r="AD283" s="163">
        <f t="shared" si="161"/>
        <v>0</v>
      </c>
      <c r="AE283" s="164">
        <f t="shared" si="162"/>
        <v>0.05</v>
      </c>
      <c r="AF283" s="855">
        <f t="shared" si="163"/>
        <v>1.2000000000000002</v>
      </c>
      <c r="AH283" s="84">
        <f t="shared" si="164"/>
        <v>5</v>
      </c>
      <c r="AI283" s="85" t="str">
        <f t="shared" si="165"/>
        <v>Zeste d'orange</v>
      </c>
      <c r="AJ283" s="84" t="str">
        <f t="shared" si="166"/>
        <v>AUTRE</v>
      </c>
      <c r="AK283" s="84">
        <f t="shared" si="167"/>
        <v>1</v>
      </c>
      <c r="AL283" s="84">
        <f t="shared" si="168"/>
        <v>1</v>
      </c>
      <c r="AM283" s="84">
        <f>IF(C282="","",R271)</f>
        <v>24</v>
      </c>
      <c r="AN283" s="84">
        <f t="shared" si="169"/>
        <v>24</v>
      </c>
      <c r="AO283" s="84">
        <f t="shared" si="170"/>
        <v>24</v>
      </c>
      <c r="AP283" s="84" t="str">
        <f t="shared" si="171"/>
        <v>zeste(s)</v>
      </c>
      <c r="AQ283" s="84">
        <f t="shared" si="172"/>
        <v>0</v>
      </c>
      <c r="AR283" s="84">
        <f t="shared" si="173"/>
        <v>1.2000000000000002</v>
      </c>
      <c r="AS283" s="84" t="str">
        <f t="shared" si="174"/>
        <v>OK</v>
      </c>
    </row>
    <row r="284" spans="1:45" ht="24.95" customHeight="1">
      <c r="A284" s="712"/>
      <c r="B284" s="731"/>
      <c r="C284" s="70"/>
      <c r="D284" s="79"/>
      <c r="E284" s="3"/>
      <c r="F284" s="72"/>
      <c r="G284" s="732"/>
      <c r="H284" s="733"/>
      <c r="I284" s="161"/>
      <c r="J284" s="73"/>
      <c r="K284" s="73"/>
      <c r="L284" s="73"/>
      <c r="M284" s="74"/>
      <c r="N284" s="3"/>
      <c r="O284" s="53" t="s">
        <v>184</v>
      </c>
      <c r="Q284" s="355" t="s">
        <v>558</v>
      </c>
      <c r="V284" s="847" t="str">
        <f t="shared" si="154"/>
        <v/>
      </c>
      <c r="W284" s="849" t="str">
        <f t="shared" si="155"/>
        <v/>
      </c>
      <c r="X284" s="86" t="str">
        <f t="shared" si="156"/>
        <v/>
      </c>
      <c r="Y284" s="837" t="str">
        <f t="shared" si="157"/>
        <v/>
      </c>
      <c r="Z284" s="840" t="str">
        <f>IF(OR(C283="",AJ284&lt;&gt;"VOLUME",AN286=0),"","≈ "&amp;TEXT(ROUND(AN284/AN286*10*2,0)/2,"0.0")&amp;"/10")</f>
        <v/>
      </c>
      <c r="AA284" s="87" t="str">
        <f t="shared" si="158"/>
        <v/>
      </c>
      <c r="AB284" s="88" t="str">
        <f t="shared" si="159"/>
        <v/>
      </c>
      <c r="AC284" s="843" t="str">
        <f t="shared" si="160"/>
        <v/>
      </c>
      <c r="AD284" s="88" t="str">
        <f t="shared" si="161"/>
        <v/>
      </c>
      <c r="AE284" s="88" t="str">
        <f t="shared" si="162"/>
        <v/>
      </c>
      <c r="AF284" s="834" t="str">
        <f t="shared" si="163"/>
        <v/>
      </c>
      <c r="AH284" s="84" t="str">
        <f t="shared" si="164"/>
        <v/>
      </c>
      <c r="AI284" s="85" t="str">
        <f t="shared" si="165"/>
        <v/>
      </c>
      <c r="AJ284" s="84" t="str">
        <f t="shared" si="166"/>
        <v/>
      </c>
      <c r="AK284" s="84" t="str">
        <f t="shared" si="167"/>
        <v/>
      </c>
      <c r="AL284" s="84" t="str">
        <f t="shared" si="168"/>
        <v/>
      </c>
      <c r="AM284" s="84" t="str">
        <f>IF(C283="","",R271)</f>
        <v/>
      </c>
      <c r="AN284" s="84" t="str">
        <f t="shared" si="169"/>
        <v/>
      </c>
      <c r="AO284" s="84" t="str">
        <f t="shared" si="170"/>
        <v/>
      </c>
      <c r="AP284" s="84" t="str">
        <f t="shared" si="171"/>
        <v/>
      </c>
      <c r="AQ284" s="84" t="str">
        <f t="shared" si="172"/>
        <v/>
      </c>
      <c r="AR284" s="84" t="str">
        <f t="shared" si="173"/>
        <v/>
      </c>
      <c r="AS284" s="84" t="str">
        <f t="shared" si="174"/>
        <v/>
      </c>
    </row>
    <row r="285" spans="1:45" ht="24.95" customHeight="1">
      <c r="A285" s="712"/>
      <c r="B285" s="14" t="s">
        <v>44</v>
      </c>
      <c r="C285" s="146" t="s">
        <v>198</v>
      </c>
      <c r="D285" s="89"/>
      <c r="E285" s="89"/>
      <c r="F285" s="89"/>
      <c r="G285" s="89"/>
      <c r="H285" s="89"/>
      <c r="I285" s="89"/>
      <c r="J285" s="89"/>
      <c r="K285" s="89"/>
      <c r="L285" s="89"/>
      <c r="M285" s="90"/>
      <c r="N285" s="3"/>
      <c r="O285" s="53" t="s">
        <v>229</v>
      </c>
      <c r="Q285"/>
      <c r="V285" s="847" t="str">
        <f t="shared" si="154"/>
        <v/>
      </c>
      <c r="W285" s="849" t="str">
        <f t="shared" si="155"/>
        <v/>
      </c>
      <c r="X285" s="86" t="str">
        <f t="shared" si="156"/>
        <v/>
      </c>
      <c r="Y285" s="837" t="str">
        <f t="shared" si="157"/>
        <v/>
      </c>
      <c r="Z285" s="840" t="str">
        <f>IF(OR(C284="",AJ285&lt;&gt;"VOLUME",AN286=0),"","≈ "&amp;TEXT(ROUND(AN285/AN286*10*2,0)/2,"0.0")&amp;"/10")</f>
        <v/>
      </c>
      <c r="AA285" s="87" t="str">
        <f t="shared" si="158"/>
        <v/>
      </c>
      <c r="AB285" s="88" t="str">
        <f t="shared" si="159"/>
        <v/>
      </c>
      <c r="AC285" s="843" t="str">
        <f t="shared" si="160"/>
        <v/>
      </c>
      <c r="AD285" s="88" t="str">
        <f t="shared" si="161"/>
        <v/>
      </c>
      <c r="AE285" s="88" t="str">
        <f t="shared" si="162"/>
        <v/>
      </c>
      <c r="AF285" s="834" t="str">
        <f t="shared" si="163"/>
        <v/>
      </c>
      <c r="AH285" s="84" t="str">
        <f t="shared" si="164"/>
        <v/>
      </c>
      <c r="AI285" s="85" t="str">
        <f t="shared" si="165"/>
        <v/>
      </c>
      <c r="AJ285" s="84" t="str">
        <f t="shared" si="166"/>
        <v/>
      </c>
      <c r="AK285" s="84" t="str">
        <f t="shared" si="167"/>
        <v/>
      </c>
      <c r="AL285" s="84" t="str">
        <f t="shared" si="168"/>
        <v/>
      </c>
      <c r="AM285" s="84" t="str">
        <f>IF(C284="","",R271)</f>
        <v/>
      </c>
      <c r="AN285" s="84" t="str">
        <f t="shared" si="169"/>
        <v/>
      </c>
      <c r="AO285" s="84" t="str">
        <f t="shared" si="170"/>
        <v/>
      </c>
      <c r="AP285" s="84" t="str">
        <f t="shared" si="171"/>
        <v/>
      </c>
      <c r="AQ285" s="84" t="str">
        <f t="shared" si="172"/>
        <v/>
      </c>
      <c r="AR285" s="84" t="str">
        <f t="shared" si="173"/>
        <v/>
      </c>
      <c r="AS285" s="84" t="str">
        <f t="shared" si="174"/>
        <v/>
      </c>
    </row>
    <row r="286" spans="1:45" ht="24.95" customHeight="1">
      <c r="A286" s="712"/>
      <c r="B286" s="91">
        <v>0</v>
      </c>
      <c r="C286" s="10" t="s">
        <v>491</v>
      </c>
      <c r="D286" s="11"/>
      <c r="E286" s="11"/>
      <c r="F286" s="11"/>
      <c r="G286" s="11"/>
      <c r="H286" s="11"/>
      <c r="I286" s="11"/>
      <c r="J286" s="11"/>
      <c r="K286" s="11"/>
      <c r="L286" s="11"/>
      <c r="M286" s="92"/>
      <c r="N286" s="3"/>
      <c r="O286" s="53" t="s">
        <v>236</v>
      </c>
      <c r="Q286" s="29" t="s">
        <v>70</v>
      </c>
      <c r="V286" s="851" t="s">
        <v>203</v>
      </c>
      <c r="W286" s="93"/>
      <c r="X286" s="845">
        <f>AN286</f>
        <v>2400</v>
      </c>
      <c r="Y286" s="835" t="str">
        <f>IF(AN286=0,"",TEXT(AN286/1000,"0.000")&amp;" L")</f>
        <v>2.400 L</v>
      </c>
      <c r="Z286" s="857"/>
      <c r="AA286" s="93"/>
      <c r="AB286" s="93"/>
      <c r="AC286" s="832">
        <f>AQ286</f>
        <v>528</v>
      </c>
      <c r="AD286" s="844">
        <f>IF(AN286=0,"",AQ286/AN286*100)</f>
        <v>22</v>
      </c>
      <c r="AE286" s="93"/>
      <c r="AF286" s="856">
        <f>AR286</f>
        <v>31.56</v>
      </c>
      <c r="AH286" s="94" t="s">
        <v>203</v>
      </c>
      <c r="AI286" s="94"/>
      <c r="AJ286" s="94"/>
      <c r="AK286" s="94"/>
      <c r="AL286" s="94"/>
      <c r="AM286" s="94"/>
      <c r="AN286" s="94">
        <f>SUMIF(AJ279:AJ285,"VOLUME",AN279:AN285)</f>
        <v>2400</v>
      </c>
      <c r="AO286" s="94"/>
      <c r="AP286" s="94"/>
      <c r="AQ286" s="94">
        <f>SUM(AQ279:AQ285)</f>
        <v>528</v>
      </c>
      <c r="AR286" s="94">
        <f>SUM(AR279:AR285)</f>
        <v>31.56</v>
      </c>
      <c r="AS286" s="94" t="str">
        <f>IF(COUNTIF(AS279:AS285,"&lt;&gt;OK")-COUNTBLANK(AS279:AS285)=0,"OK","À CONTRÔLER")</f>
        <v>OK</v>
      </c>
    </row>
    <row r="287" spans="1:45" ht="24.95" customHeight="1">
      <c r="A287" s="712"/>
      <c r="B287" s="95">
        <v>1</v>
      </c>
      <c r="C287" s="96" t="s">
        <v>7375</v>
      </c>
      <c r="D287" s="96"/>
      <c r="E287" s="96"/>
      <c r="F287" s="96"/>
      <c r="G287" s="96"/>
      <c r="H287" s="96"/>
      <c r="I287" s="96"/>
      <c r="J287" s="96"/>
      <c r="K287" s="96"/>
      <c r="L287" s="96"/>
      <c r="M287" s="74"/>
      <c r="N287" s="3"/>
      <c r="O287" s="99" t="s">
        <v>240</v>
      </c>
      <c r="Q287" s="184"/>
      <c r="V287" s="832" t="s">
        <v>208</v>
      </c>
      <c r="W287" s="19" t="s">
        <v>209</v>
      </c>
      <c r="X287" s="36"/>
      <c r="Y287" s="858"/>
      <c r="Z287" s="859"/>
      <c r="AA287" s="97"/>
      <c r="AB287" s="97"/>
      <c r="AC287" s="97"/>
      <c r="AD287" s="97"/>
      <c r="AE287" s="97"/>
      <c r="AF287" s="860"/>
      <c r="AH287" s="3" t="s">
        <v>6994</v>
      </c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spans="1:45" ht="24.95" customHeight="1">
      <c r="A288" s="712"/>
      <c r="B288" s="95">
        <v>2</v>
      </c>
      <c r="C288" s="96" t="s">
        <v>7376</v>
      </c>
      <c r="D288" s="96"/>
      <c r="E288" s="96"/>
      <c r="F288" s="96"/>
      <c r="G288" s="96"/>
      <c r="H288" s="96"/>
      <c r="I288" s="96"/>
      <c r="J288" s="96"/>
      <c r="K288" s="96"/>
      <c r="L288" s="96"/>
      <c r="M288" s="74"/>
      <c r="N288" s="3"/>
      <c r="O288" s="100" t="s">
        <v>248</v>
      </c>
      <c r="P288" s="3"/>
      <c r="Q288" s="29" t="s">
        <v>584</v>
      </c>
      <c r="V288" s="98" t="str">
        <f t="shared" ref="V288:V295" si="175">IF(C287="","",C287)</f>
        <v>Refroidir le verre Martini.</v>
      </c>
      <c r="W288" s="98"/>
      <c r="X288" s="98"/>
      <c r="Y288" s="98"/>
      <c r="Z288" s="98"/>
      <c r="AA288" s="98"/>
      <c r="AB288" s="98"/>
      <c r="AC288" s="98"/>
      <c r="AD288" s="98"/>
      <c r="AE288" s="98"/>
      <c r="AF288" s="98"/>
      <c r="AH288" s="146" t="s">
        <v>214</v>
      </c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3"/>
    </row>
    <row r="289" spans="1:45" ht="24.95" customHeight="1">
      <c r="A289" s="712"/>
      <c r="B289" s="95">
        <v>3</v>
      </c>
      <c r="C289" s="96" t="s">
        <v>7377</v>
      </c>
      <c r="D289" s="96"/>
      <c r="E289" s="96"/>
      <c r="F289" s="96"/>
      <c r="G289" s="96"/>
      <c r="H289" s="96"/>
      <c r="I289" s="96"/>
      <c r="J289" s="96"/>
      <c r="K289" s="96"/>
      <c r="L289" s="96"/>
      <c r="M289" s="74"/>
      <c r="N289" s="3"/>
      <c r="O289" s="39" t="s">
        <v>251</v>
      </c>
      <c r="P289" s="3"/>
      <c r="Q289"/>
      <c r="R289" s="3"/>
      <c r="S289" s="3"/>
      <c r="T289" s="3"/>
      <c r="U289" s="3"/>
      <c r="V289" s="98" t="str">
        <f t="shared" si="175"/>
        <v>Verser la vodka citron dans le shaker.</v>
      </c>
      <c r="W289" s="98"/>
      <c r="X289" s="98"/>
      <c r="Y289" s="98"/>
      <c r="Z289" s="98"/>
      <c r="AA289" s="98"/>
      <c r="AB289" s="98"/>
      <c r="AC289" s="98"/>
      <c r="AD289" s="98"/>
      <c r="AE289" s="98"/>
      <c r="AF289" s="98"/>
      <c r="AH289" s="165" t="s">
        <v>219</v>
      </c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</row>
    <row r="290" spans="1:45" ht="24.95" customHeight="1">
      <c r="A290" s="712"/>
      <c r="B290" s="95">
        <v>4</v>
      </c>
      <c r="C290" s="96" t="s">
        <v>7305</v>
      </c>
      <c r="D290" s="96"/>
      <c r="E290" s="96"/>
      <c r="F290" s="96"/>
      <c r="G290" s="96"/>
      <c r="H290" s="96"/>
      <c r="I290" s="96"/>
      <c r="J290" s="96"/>
      <c r="K290" s="96"/>
      <c r="L290" s="96"/>
      <c r="M290" s="74"/>
      <c r="N290" s="3"/>
      <c r="O290" s="39" t="s">
        <v>255</v>
      </c>
      <c r="P290" s="3"/>
      <c r="Q290" s="356" t="s">
        <v>564</v>
      </c>
      <c r="R290" s="3"/>
      <c r="S290" s="3"/>
      <c r="T290" s="3"/>
      <c r="U290" s="3"/>
      <c r="V290" s="98" t="str">
        <f t="shared" si="175"/>
        <v>Ajouter le triple sec, le cranberry et le citron vert.</v>
      </c>
      <c r="W290" s="98"/>
      <c r="X290" s="98"/>
      <c r="Y290" s="98"/>
      <c r="Z290" s="98"/>
      <c r="AA290" s="98"/>
      <c r="AB290" s="98"/>
      <c r="AC290" s="98"/>
      <c r="AD290" s="98"/>
      <c r="AE290" s="98"/>
      <c r="AF290" s="98"/>
      <c r="AH290" s="166" t="s">
        <v>222</v>
      </c>
      <c r="AI290" s="167" t="s">
        <v>223</v>
      </c>
      <c r="AJ290" s="165"/>
      <c r="AK290" s="167" t="s">
        <v>224</v>
      </c>
      <c r="AL290" s="165"/>
      <c r="AM290" s="165"/>
      <c r="AN290" s="165"/>
      <c r="AO290" s="167" t="s">
        <v>225</v>
      </c>
      <c r="AP290" s="165"/>
      <c r="AQ290" s="165"/>
      <c r="AR290" s="165"/>
    </row>
    <row r="291" spans="1:45" ht="24.95" customHeight="1">
      <c r="A291" s="712"/>
      <c r="B291" s="95">
        <v>5</v>
      </c>
      <c r="C291" s="96" t="s">
        <v>7306</v>
      </c>
      <c r="D291" s="96"/>
      <c r="E291" s="96"/>
      <c r="F291" s="96"/>
      <c r="G291" s="96"/>
      <c r="H291" s="96"/>
      <c r="I291" s="96"/>
      <c r="J291" s="96"/>
      <c r="K291" s="96"/>
      <c r="L291" s="96"/>
      <c r="M291" s="74"/>
      <c r="N291" s="3"/>
      <c r="O291" s="39" t="s">
        <v>244</v>
      </c>
      <c r="P291" s="3"/>
      <c r="Q291"/>
      <c r="R291" s="3"/>
      <c r="S291" s="3"/>
      <c r="T291" s="3"/>
      <c r="U291" s="3"/>
      <c r="V291" s="98" t="str">
        <f t="shared" si="175"/>
        <v>Ajouter la glace.</v>
      </c>
      <c r="W291" s="98"/>
      <c r="X291" s="98"/>
      <c r="Y291" s="98"/>
      <c r="Z291" s="98"/>
      <c r="AA291" s="98"/>
      <c r="AB291" s="98"/>
      <c r="AC291" s="98"/>
      <c r="AD291" s="98"/>
      <c r="AE291" s="98"/>
      <c r="AF291" s="98"/>
      <c r="AH291" s="750" t="s">
        <v>156</v>
      </c>
      <c r="AI291" s="748" t="s">
        <v>230</v>
      </c>
      <c r="AJ291" s="748"/>
      <c r="AK291" s="749" t="s">
        <v>231</v>
      </c>
      <c r="AL291" s="749"/>
      <c r="AM291" s="749"/>
      <c r="AN291" s="749"/>
      <c r="AO291" s="746" t="s">
        <v>232</v>
      </c>
      <c r="AP291" s="746"/>
      <c r="AQ291" s="746"/>
      <c r="AR291" s="746"/>
    </row>
    <row r="292" spans="1:45" ht="24.95" customHeight="1">
      <c r="A292" s="712"/>
      <c r="B292" s="95">
        <v>6</v>
      </c>
      <c r="C292" s="96" t="s">
        <v>7378</v>
      </c>
      <c r="D292" s="96"/>
      <c r="E292" s="96"/>
      <c r="F292" s="96"/>
      <c r="G292" s="96"/>
      <c r="H292" s="96"/>
      <c r="I292" s="96"/>
      <c r="J292" s="96"/>
      <c r="K292" s="96"/>
      <c r="L292" s="96"/>
      <c r="M292" s="74"/>
      <c r="N292" s="3"/>
      <c r="O292" s="39" t="s">
        <v>24</v>
      </c>
      <c r="P292" s="3"/>
      <c r="Q292" s="356" t="s">
        <v>72</v>
      </c>
      <c r="R292" s="3"/>
      <c r="S292" s="3"/>
      <c r="T292" s="3"/>
      <c r="U292" s="3"/>
      <c r="V292" s="98" t="str">
        <f t="shared" si="175"/>
        <v>Shaker énergiquement.</v>
      </c>
      <c r="W292" s="98"/>
      <c r="X292" s="98"/>
      <c r="Y292" s="98"/>
      <c r="Z292" s="98"/>
      <c r="AA292" s="98"/>
      <c r="AB292" s="98"/>
      <c r="AC292" s="98"/>
      <c r="AD292" s="98"/>
      <c r="AE292" s="98"/>
      <c r="AF292" s="98"/>
      <c r="AH292" s="750"/>
      <c r="AI292" s="748"/>
      <c r="AJ292" s="748"/>
      <c r="AK292" s="749"/>
      <c r="AL292" s="749"/>
      <c r="AM292" s="749"/>
      <c r="AN292" s="749"/>
      <c r="AO292" s="746"/>
      <c r="AP292" s="746"/>
      <c r="AQ292" s="746"/>
      <c r="AR292" s="746"/>
    </row>
    <row r="293" spans="1:45" ht="24.95" customHeight="1">
      <c r="A293" s="712"/>
      <c r="B293" s="95">
        <v>7</v>
      </c>
      <c r="C293" s="96" t="s">
        <v>7379</v>
      </c>
      <c r="D293" s="96"/>
      <c r="E293" s="96"/>
      <c r="F293" s="96"/>
      <c r="G293" s="96"/>
      <c r="H293" s="96"/>
      <c r="I293" s="96"/>
      <c r="J293" s="96"/>
      <c r="K293" s="96"/>
      <c r="L293" s="96"/>
      <c r="M293" s="74"/>
      <c r="N293" s="3"/>
      <c r="O293" s="39" t="s">
        <v>268</v>
      </c>
      <c r="P293" s="3"/>
      <c r="Q293"/>
      <c r="R293" s="3"/>
      <c r="S293" s="3"/>
      <c r="T293" s="3"/>
      <c r="U293" s="3"/>
      <c r="V293" s="98" t="str">
        <f t="shared" si="175"/>
        <v>Filtrer finement dans le verre refroidi.</v>
      </c>
      <c r="W293" s="98"/>
      <c r="X293" s="98"/>
      <c r="Y293" s="98"/>
      <c r="Z293" s="98"/>
      <c r="AA293" s="98"/>
      <c r="AB293" s="98"/>
      <c r="AC293" s="98"/>
      <c r="AD293" s="98"/>
      <c r="AE293" s="98"/>
      <c r="AF293" s="98"/>
      <c r="AH293" s="747" t="s">
        <v>492</v>
      </c>
      <c r="AI293" s="748" t="s">
        <v>241</v>
      </c>
      <c r="AJ293" s="748"/>
      <c r="AK293" s="749" t="s">
        <v>242</v>
      </c>
      <c r="AL293" s="749"/>
      <c r="AM293" s="749"/>
      <c r="AN293" s="749"/>
      <c r="AO293" s="746" t="s">
        <v>243</v>
      </c>
      <c r="AP293" s="746"/>
      <c r="AQ293" s="746"/>
      <c r="AR293" s="746"/>
    </row>
    <row r="294" spans="1:45" ht="24.95" customHeight="1">
      <c r="A294" s="712"/>
      <c r="B294" s="95">
        <v>8</v>
      </c>
      <c r="C294" s="96" t="s">
        <v>7380</v>
      </c>
      <c r="D294" s="96"/>
      <c r="E294" s="96"/>
      <c r="F294" s="96"/>
      <c r="G294" s="96"/>
      <c r="H294" s="96"/>
      <c r="I294" s="96"/>
      <c r="J294" s="96"/>
      <c r="K294" s="96"/>
      <c r="L294" s="96"/>
      <c r="M294" s="74"/>
      <c r="N294" s="3"/>
      <c r="O294" s="39" t="s">
        <v>273</v>
      </c>
      <c r="P294" s="3"/>
      <c r="Q294" s="356" t="s">
        <v>602</v>
      </c>
      <c r="R294" s="3"/>
      <c r="S294" s="3"/>
      <c r="T294" s="3"/>
      <c r="U294" s="3"/>
      <c r="V294" s="98" t="str">
        <f t="shared" si="175"/>
        <v>Exprimer le zeste d’orange au-dessus du cocktail.</v>
      </c>
      <c r="W294" s="98"/>
      <c r="X294" s="98"/>
      <c r="Y294" s="98"/>
      <c r="Z294" s="98"/>
      <c r="AA294" s="98"/>
      <c r="AB294" s="98"/>
      <c r="AC294" s="98"/>
      <c r="AD294" s="98"/>
      <c r="AE294" s="98"/>
      <c r="AF294" s="98"/>
      <c r="AH294" s="747"/>
      <c r="AI294" s="748"/>
      <c r="AJ294" s="748"/>
      <c r="AK294" s="749"/>
      <c r="AL294" s="749"/>
      <c r="AM294" s="749"/>
      <c r="AN294" s="749"/>
      <c r="AO294" s="746"/>
      <c r="AP294" s="746"/>
      <c r="AQ294" s="746"/>
      <c r="AR294" s="746"/>
    </row>
    <row r="295" spans="1:45" ht="24.95" customHeight="1">
      <c r="A295" s="712"/>
      <c r="B295" s="101"/>
      <c r="C295" s="89"/>
      <c r="D295" s="89"/>
      <c r="E295" s="89"/>
      <c r="F295" s="89"/>
      <c r="G295" s="89"/>
      <c r="H295" s="89"/>
      <c r="I295" s="89"/>
      <c r="J295" s="89"/>
      <c r="K295" s="89"/>
      <c r="L295" s="89"/>
      <c r="M295" s="90"/>
      <c r="N295" s="3"/>
      <c r="O295" s="39" t="s">
        <v>29</v>
      </c>
      <c r="P295" s="3"/>
      <c r="Q295" s="183"/>
      <c r="R295" s="3"/>
      <c r="S295" s="3"/>
      <c r="T295" s="3"/>
      <c r="U295" s="3"/>
      <c r="V295" s="98" t="str">
        <f t="shared" si="175"/>
        <v>Contrôler la couleur et servir.</v>
      </c>
      <c r="W295" s="98"/>
      <c r="X295" s="98"/>
      <c r="Y295" s="98"/>
      <c r="Z295" s="98"/>
      <c r="AA295" s="98"/>
      <c r="AB295" s="98"/>
      <c r="AC295" s="98"/>
      <c r="AD295" s="98"/>
      <c r="AE295" s="98"/>
      <c r="AF295" s="98"/>
      <c r="AH295" s="750" t="s">
        <v>6993</v>
      </c>
      <c r="AI295" s="748" t="s">
        <v>252</v>
      </c>
      <c r="AJ295" s="748"/>
      <c r="AK295" s="749" t="s">
        <v>253</v>
      </c>
      <c r="AL295" s="749"/>
      <c r="AM295" s="749"/>
      <c r="AN295" s="749"/>
      <c r="AO295" s="746" t="s">
        <v>254</v>
      </c>
      <c r="AP295" s="746"/>
      <c r="AQ295" s="746"/>
      <c r="AR295" s="746"/>
    </row>
    <row r="296" spans="1:45" ht="24.95" customHeight="1">
      <c r="A296" s="712"/>
      <c r="B296" s="10" t="s">
        <v>258</v>
      </c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92"/>
      <c r="N296" s="3"/>
      <c r="O296" s="39" t="s">
        <v>280</v>
      </c>
      <c r="P296" s="3"/>
      <c r="Q296" s="356" t="s">
        <v>609</v>
      </c>
      <c r="R296" s="3"/>
      <c r="S296" s="3"/>
      <c r="T296" s="3"/>
      <c r="U296" s="3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H296" s="750"/>
      <c r="AI296" s="748"/>
      <c r="AJ296" s="748"/>
      <c r="AK296" s="749"/>
      <c r="AL296" s="749"/>
      <c r="AM296" s="749"/>
      <c r="AN296" s="749"/>
      <c r="AO296" s="746"/>
      <c r="AP296" s="746"/>
      <c r="AQ296" s="746"/>
      <c r="AR296" s="746"/>
    </row>
    <row r="297" spans="1:45" ht="24.95" customHeight="1">
      <c r="A297" s="712"/>
      <c r="B297" s="102" t="s">
        <v>259</v>
      </c>
      <c r="C297" s="73" t="s">
        <v>154</v>
      </c>
      <c r="D297" s="73"/>
      <c r="E297" s="73"/>
      <c r="F297" s="73"/>
      <c r="G297" s="73"/>
      <c r="H297" s="73"/>
      <c r="I297" s="73"/>
      <c r="J297" s="73"/>
      <c r="K297" s="73"/>
      <c r="L297" s="73"/>
      <c r="M297" s="74"/>
      <c r="N297" s="3"/>
      <c r="O297" s="39" t="s">
        <v>283</v>
      </c>
      <c r="P297" s="3"/>
      <c r="R297" s="3"/>
      <c r="S297" s="3"/>
      <c r="T297" s="3"/>
      <c r="U297" s="3"/>
      <c r="V297" s="103" t="s">
        <v>260</v>
      </c>
      <c r="W297" s="103" t="s">
        <v>209</v>
      </c>
      <c r="X297" s="103"/>
      <c r="Y297" s="103"/>
      <c r="Z297" s="103"/>
      <c r="AA297" s="103"/>
      <c r="AB297" s="103"/>
      <c r="AC297" s="103"/>
      <c r="AD297" s="103"/>
      <c r="AE297" s="103"/>
      <c r="AF297" s="103"/>
      <c r="AH297" s="171" t="s">
        <v>261</v>
      </c>
      <c r="AI297" s="172"/>
      <c r="AJ297" s="165"/>
      <c r="AK297" s="165"/>
      <c r="AL297" s="165"/>
      <c r="AM297" s="165"/>
      <c r="AN297" s="165"/>
      <c r="AO297" s="165"/>
      <c r="AP297" s="165"/>
      <c r="AQ297" s="165"/>
      <c r="AR297" s="165"/>
    </row>
    <row r="298" spans="1:45" ht="24.95" customHeight="1">
      <c r="A298" s="712"/>
      <c r="B298" s="102" t="s">
        <v>262</v>
      </c>
      <c r="C298" s="73" t="s">
        <v>7321</v>
      </c>
      <c r="D298" s="73"/>
      <c r="E298" s="73"/>
      <c r="F298" s="73"/>
      <c r="G298" s="73"/>
      <c r="H298" s="73"/>
      <c r="I298" s="73"/>
      <c r="J298" s="73"/>
      <c r="K298" s="73"/>
      <c r="L298" s="73"/>
      <c r="M298" s="74"/>
      <c r="N298" s="3"/>
      <c r="O298" s="39" t="s">
        <v>33</v>
      </c>
      <c r="P298" s="3"/>
      <c r="Q298" s="3"/>
      <c r="R298" s="3"/>
      <c r="S298" s="3"/>
      <c r="T298" s="3"/>
      <c r="U298" s="3"/>
      <c r="V298" s="98" t="str">
        <f>IF(C297="","",C297)</f>
        <v>Martini</v>
      </c>
      <c r="W298" s="98"/>
      <c r="X298" s="98"/>
      <c r="Y298" s="98"/>
      <c r="Z298" s="98"/>
      <c r="AA298" s="98"/>
      <c r="AB298" s="98"/>
      <c r="AC298" s="98"/>
      <c r="AD298" s="98"/>
      <c r="AE298" s="98"/>
      <c r="AF298" s="98"/>
      <c r="AH298" s="172" t="s">
        <v>264</v>
      </c>
      <c r="AI298" s="172"/>
      <c r="AJ298" s="165"/>
      <c r="AK298" s="172"/>
      <c r="AL298" s="165"/>
      <c r="AM298" s="165"/>
      <c r="AN298" s="165"/>
      <c r="AO298" s="172"/>
      <c r="AP298" s="165"/>
      <c r="AQ298" s="165"/>
      <c r="AR298" s="165"/>
    </row>
    <row r="299" spans="1:45" ht="24.95" customHeight="1">
      <c r="A299" s="712"/>
      <c r="B299" s="104" t="s">
        <v>267</v>
      </c>
      <c r="C299" s="105" t="s">
        <v>7277</v>
      </c>
      <c r="D299" s="73"/>
      <c r="E299" s="73"/>
      <c r="F299" s="73"/>
      <c r="G299" s="73"/>
      <c r="H299" s="73"/>
      <c r="I299" s="73"/>
      <c r="J299" s="73"/>
      <c r="K299" s="73"/>
      <c r="L299" s="73"/>
      <c r="M299" s="74"/>
      <c r="N299" s="3"/>
      <c r="O299" s="39" t="s">
        <v>40</v>
      </c>
      <c r="P299" s="3"/>
      <c r="Q299" s="3"/>
      <c r="R299" s="3"/>
      <c r="S299" s="3"/>
      <c r="T299" s="3"/>
      <c r="U299" s="3"/>
      <c r="V299" s="98" t="str">
        <f>IF(C298="","",C298)</f>
        <v>Doseur / jigger ; shaker ; passoire ; passoire fine</v>
      </c>
      <c r="W299" s="98"/>
      <c r="X299" s="98"/>
      <c r="Y299" s="98"/>
      <c r="Z299" s="98"/>
      <c r="AA299" s="98"/>
      <c r="AB299" s="98"/>
      <c r="AC299" s="98"/>
      <c r="AD299" s="98"/>
      <c r="AE299" s="98"/>
      <c r="AF299" s="98"/>
      <c r="AH299" s="172" t="s">
        <v>269</v>
      </c>
      <c r="AI299" s="172"/>
      <c r="AJ299" s="173"/>
      <c r="AK299" s="173"/>
      <c r="AL299" s="165"/>
      <c r="AM299" s="165"/>
      <c r="AN299" s="165"/>
      <c r="AO299" s="165"/>
      <c r="AP299" s="165"/>
      <c r="AQ299" s="165"/>
      <c r="AR299" s="165"/>
    </row>
    <row r="300" spans="1:45" ht="24.95" customHeight="1">
      <c r="A300" s="712"/>
      <c r="N300" s="3"/>
      <c r="O300" s="39" t="s">
        <v>43</v>
      </c>
      <c r="P300" s="3"/>
      <c r="Q300" s="3"/>
      <c r="R300" s="3"/>
      <c r="S300" s="3"/>
      <c r="T300" s="3"/>
      <c r="U300" s="3"/>
      <c r="V300" s="98" t="str">
        <f>IF(C299="","",C299)</f>
        <v>https://iba-world.com/</v>
      </c>
      <c r="W300" s="98"/>
      <c r="X300" s="98"/>
      <c r="Y300" s="98"/>
      <c r="Z300" s="98"/>
      <c r="AA300" s="98"/>
      <c r="AB300" s="98"/>
      <c r="AC300" s="98"/>
      <c r="AD300" s="98"/>
      <c r="AE300" s="98"/>
      <c r="AF300" s="98"/>
      <c r="AH300" s="168" t="s">
        <v>274</v>
      </c>
      <c r="AI300" s="165"/>
      <c r="AJ300" s="173"/>
      <c r="AK300" s="173"/>
      <c r="AL300" s="165"/>
      <c r="AM300" s="165"/>
      <c r="AN300" s="165"/>
      <c r="AO300" s="165"/>
      <c r="AP300" s="165"/>
      <c r="AQ300" s="165"/>
      <c r="AR300" s="165"/>
    </row>
    <row r="301" spans="1:45" ht="24.95" customHeight="1">
      <c r="A301" s="713"/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7" t="s">
        <v>272</v>
      </c>
      <c r="N301" s="3"/>
      <c r="O301" s="39" t="s">
        <v>46</v>
      </c>
      <c r="P301" s="3"/>
      <c r="Q301" s="3"/>
      <c r="R301" s="3"/>
      <c r="S301" s="3"/>
      <c r="T301" s="3"/>
      <c r="U301" s="3"/>
      <c r="V301" s="108" t="s">
        <v>277</v>
      </c>
      <c r="W301" s="108"/>
      <c r="X301" s="108"/>
      <c r="Y301" s="108"/>
      <c r="Z301" s="108"/>
      <c r="AA301" s="108"/>
      <c r="AB301" s="108"/>
      <c r="AC301" s="108"/>
      <c r="AD301" s="108"/>
      <c r="AE301" s="108"/>
      <c r="AF301" s="109" t="s">
        <v>277</v>
      </c>
      <c r="AH301" s="168" t="s">
        <v>278</v>
      </c>
      <c r="AI301" s="172"/>
      <c r="AJ301" s="173"/>
      <c r="AK301" s="173"/>
      <c r="AL301" s="165"/>
      <c r="AM301" s="165"/>
      <c r="AN301" s="165"/>
      <c r="AO301" s="165"/>
      <c r="AP301" s="165"/>
      <c r="AQ301" s="165"/>
      <c r="AR301" s="165"/>
    </row>
    <row r="302" spans="1:45" ht="24.95" customHeight="1">
      <c r="A302" s="715"/>
      <c r="B302" s="716"/>
      <c r="C302" s="716"/>
      <c r="D302" s="716"/>
      <c r="E302" s="716"/>
      <c r="F302" s="716"/>
      <c r="G302" s="716"/>
      <c r="H302" s="716"/>
      <c r="I302" s="716"/>
      <c r="J302" s="716"/>
      <c r="K302" s="716"/>
      <c r="L302" s="716"/>
      <c r="M302" s="716"/>
      <c r="N302" s="717"/>
      <c r="O302" s="39" t="s">
        <v>299</v>
      </c>
      <c r="P302" s="717"/>
      <c r="Q302" s="3"/>
      <c r="R302" s="3"/>
      <c r="S302" s="3"/>
      <c r="T302" s="3"/>
      <c r="U302" s="719"/>
      <c r="V302" s="761"/>
      <c r="W302" s="761"/>
      <c r="X302" s="761"/>
      <c r="Y302" s="720"/>
      <c r="Z302" s="721"/>
      <c r="AA302" s="721"/>
      <c r="AB302" s="721"/>
      <c r="AC302" s="721"/>
      <c r="AD302" s="721"/>
      <c r="AE302" s="721"/>
      <c r="AF302" s="721"/>
      <c r="AG302" s="719"/>
      <c r="AH302" s="718"/>
      <c r="AI302" s="718"/>
      <c r="AJ302" s="718"/>
      <c r="AK302" s="718"/>
      <c r="AL302" s="718"/>
      <c r="AM302" s="722"/>
      <c r="AN302" s="722"/>
      <c r="AO302" s="722"/>
      <c r="AP302" s="722"/>
      <c r="AQ302" s="722"/>
      <c r="AR302" s="722"/>
      <c r="AS302" s="722"/>
    </row>
    <row r="303" spans="1:45" ht="24.95" customHeight="1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9" t="s">
        <v>302</v>
      </c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</row>
    <row r="304" spans="1:45" ht="24.95" customHeight="1">
      <c r="A304" s="149" t="s">
        <v>59</v>
      </c>
      <c r="B304" s="711" t="s">
        <v>60</v>
      </c>
      <c r="C304" s="711"/>
      <c r="D304" s="711"/>
      <c r="E304" s="711"/>
      <c r="F304" s="711"/>
      <c r="G304" s="711"/>
      <c r="H304" s="711"/>
      <c r="I304" s="711"/>
      <c r="J304" s="711"/>
      <c r="K304" s="711"/>
      <c r="L304" s="711"/>
      <c r="M304" s="711"/>
      <c r="N304" s="3"/>
      <c r="O304" s="39" t="s">
        <v>305</v>
      </c>
      <c r="P304" s="3"/>
      <c r="Q304" s="10" t="s">
        <v>61</v>
      </c>
      <c r="R304" s="10"/>
      <c r="S304" s="10"/>
      <c r="T304" s="10"/>
      <c r="V304" s="861" t="s">
        <v>62</v>
      </c>
      <c r="W304" s="861"/>
      <c r="X304" s="861"/>
      <c r="Y304" s="23" t="s">
        <v>63</v>
      </c>
      <c r="Z304" s="24"/>
      <c r="AA304" s="24"/>
      <c r="AB304" s="24"/>
      <c r="AC304" s="24"/>
      <c r="AD304" s="24"/>
      <c r="AE304" s="24"/>
      <c r="AF304" s="24"/>
      <c r="AH304" s="25" t="s">
        <v>64</v>
      </c>
      <c r="AI304" s="25"/>
      <c r="AJ304" s="25" t="s">
        <v>65</v>
      </c>
      <c r="AK304" s="25"/>
      <c r="AL304" s="25"/>
      <c r="AM304" s="26"/>
      <c r="AN304" s="26"/>
      <c r="AO304" s="26"/>
      <c r="AP304" s="26"/>
      <c r="AQ304" s="26"/>
      <c r="AR304" s="26"/>
      <c r="AS304" s="26"/>
    </row>
    <row r="305" spans="1:45" ht="24.95" customHeight="1">
      <c r="A305" s="712"/>
      <c r="B305" s="27" t="s">
        <v>67</v>
      </c>
      <c r="C305" s="28" t="s">
        <v>7381</v>
      </c>
      <c r="D305" s="28"/>
      <c r="E305" s="27" t="s">
        <v>69</v>
      </c>
      <c r="F305" s="29" t="s">
        <v>70</v>
      </c>
      <c r="G305" s="30"/>
      <c r="H305" s="27" t="s">
        <v>71</v>
      </c>
      <c r="I305" s="729" t="s">
        <v>7272</v>
      </c>
      <c r="J305" s="30"/>
      <c r="K305" s="27" t="s">
        <v>73</v>
      </c>
      <c r="L305" s="32" t="s">
        <v>74</v>
      </c>
      <c r="M305" s="33"/>
      <c r="N305" s="3"/>
      <c r="O305" s="39" t="s">
        <v>307</v>
      </c>
      <c r="P305" s="3"/>
      <c r="Q305" s="14" t="s">
        <v>27</v>
      </c>
      <c r="R305" s="35">
        <v>26</v>
      </c>
      <c r="S305" s="15" t="s">
        <v>76</v>
      </c>
      <c r="T305" s="15"/>
      <c r="V305" s="831" t="s">
        <v>77</v>
      </c>
      <c r="W305" s="862" t="str">
        <f>C305</f>
        <v>WHISKY SOUR</v>
      </c>
      <c r="X305" s="862"/>
      <c r="Y305" s="862"/>
      <c r="Z305" s="36" t="s">
        <v>78</v>
      </c>
      <c r="AA305" s="24" t="str">
        <f>F305</f>
        <v>AVEC ALCOOL</v>
      </c>
      <c r="AB305" s="24"/>
      <c r="AC305" s="831" t="s">
        <v>71</v>
      </c>
      <c r="AD305" s="37" t="str">
        <f>I305</f>
        <v>ALL DAY</v>
      </c>
      <c r="AE305" s="831" t="s">
        <v>73</v>
      </c>
      <c r="AF305" s="24" t="str">
        <f>L305</f>
        <v>ON THE ROCKS</v>
      </c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</row>
    <row r="306" spans="1:45" ht="24.95" customHeight="1">
      <c r="A306" s="712"/>
      <c r="B306" s="27" t="s">
        <v>80</v>
      </c>
      <c r="C306" s="38" t="s">
        <v>7382</v>
      </c>
      <c r="D306" s="30"/>
      <c r="E306" s="27" t="s">
        <v>82</v>
      </c>
      <c r="F306" s="39" t="s">
        <v>83</v>
      </c>
      <c r="G306" s="30"/>
      <c r="H306" s="27" t="s">
        <v>84</v>
      </c>
      <c r="I306" s="40">
        <v>1</v>
      </c>
      <c r="J306" s="41" t="s">
        <v>83</v>
      </c>
      <c r="K306" s="41"/>
      <c r="L306" s="42" t="s">
        <v>76</v>
      </c>
      <c r="M306" s="33"/>
      <c r="N306" s="3"/>
      <c r="O306" s="39" t="s">
        <v>310</v>
      </c>
      <c r="Q306" s="14" t="s">
        <v>31</v>
      </c>
      <c r="R306" s="35"/>
      <c r="S306" s="15" t="s">
        <v>86</v>
      </c>
      <c r="T306" s="15"/>
      <c r="V306" s="44" t="s">
        <v>87</v>
      </c>
      <c r="W306" s="150">
        <f>R310</f>
        <v>20</v>
      </c>
      <c r="X306" s="43" t="s">
        <v>88</v>
      </c>
      <c r="Y306" s="43"/>
      <c r="Z306" s="44" t="s">
        <v>89</v>
      </c>
      <c r="AA306" s="45">
        <f>R312</f>
        <v>1.5899999999999999</v>
      </c>
      <c r="AB306" s="46" t="s">
        <v>90</v>
      </c>
      <c r="AC306" s="44" t="s">
        <v>91</v>
      </c>
      <c r="AD306" s="45">
        <f>R307</f>
        <v>26</v>
      </c>
      <c r="AE306" s="47" t="s">
        <v>92</v>
      </c>
      <c r="AF306" s="43" t="str">
        <f>R314</f>
        <v>NOMBRE DE COCKTAILS</v>
      </c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</row>
    <row r="307" spans="1:45" ht="24.95" customHeight="1">
      <c r="A307" s="712"/>
      <c r="B307" s="27" t="s">
        <v>94</v>
      </c>
      <c r="C307" s="151" t="s">
        <v>7383</v>
      </c>
      <c r="D307" s="30"/>
      <c r="E307" s="30"/>
      <c r="F307" s="30"/>
      <c r="G307" s="30"/>
      <c r="H307" s="27" t="s">
        <v>96</v>
      </c>
      <c r="I307" s="48">
        <v>9</v>
      </c>
      <c r="J307" s="730" t="s">
        <v>32</v>
      </c>
      <c r="K307" s="30"/>
      <c r="L307" s="30"/>
      <c r="M307" s="33"/>
      <c r="N307" s="3"/>
      <c r="O307" s="39" t="s">
        <v>313</v>
      </c>
      <c r="Q307" s="14" t="s">
        <v>98</v>
      </c>
      <c r="R307" s="49">
        <f>IF(AND(ISNUMBER(R306),R306&gt;0),IFERROR(R306*1000/R308,0),IF(AND(ISNUMBER(R305),R305&gt;0,ISNUMBER(I306),I306&gt;0),R305/I306,1))</f>
        <v>26</v>
      </c>
      <c r="S307" s="50" t="s">
        <v>99</v>
      </c>
      <c r="T307" s="50"/>
      <c r="V307" s="44" t="s">
        <v>100</v>
      </c>
      <c r="W307" s="51">
        <f>IF(R308="","",R308/10)</f>
        <v>9</v>
      </c>
      <c r="X307" s="46" t="s">
        <v>32</v>
      </c>
      <c r="Y307" s="43"/>
      <c r="Z307" s="44" t="s">
        <v>101</v>
      </c>
      <c r="AA307" s="45">
        <f>R309</f>
        <v>9</v>
      </c>
      <c r="AB307" s="46" t="s">
        <v>32</v>
      </c>
      <c r="AC307" s="44" t="s">
        <v>102</v>
      </c>
      <c r="AD307" s="45">
        <f>R313</f>
        <v>26</v>
      </c>
      <c r="AE307" s="51"/>
      <c r="AF307" s="4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</row>
    <row r="308" spans="1:45" ht="24.95" customHeight="1">
      <c r="A308" s="712"/>
      <c r="B308" s="27"/>
      <c r="C308" s="52" t="str">
        <f>UPPER(LEFT(C305,1)) &amp; " . " &amp; UPPER(LEFT(C305,1)) &amp; LOWER(MID(C305,2,999)) &amp; " . " &amp; UPPER(LEFT(F305,1)) &amp; LOWER(MID(F305,2,999)) &amp; " . " &amp; UPPER(LEFT(I305,1)) &amp; LOWER(MID(I305,2,999)) &amp; " . " &amp; "Verre " &amp; UPPER(LEFT(F306,1)) &amp; LOWER(MID(F306,2,999)) &amp; IF(LEFT(L305,1)=UPPER(LEFT(L305,1)),".","") &amp; UPPER(LEFT(L305,1)) &amp; LOWER(MID(L305,2,999))&amp;"  couleur"&amp;" "&amp;C306&amp;"  intensité"&amp;" "&amp;C307</f>
        <v>W . Whisky sour . Avec alcool . All day . Verre Tumbler (old fashioned).On the rocks  couleur ambré pâle  intensité *** acidulé boisé</v>
      </c>
      <c r="D308" s="52"/>
      <c r="E308" s="52"/>
      <c r="F308" s="52"/>
      <c r="G308" s="52"/>
      <c r="H308" s="52"/>
      <c r="I308" s="52"/>
      <c r="J308" s="52"/>
      <c r="K308" s="52"/>
      <c r="L308" s="30"/>
      <c r="M308" s="33"/>
      <c r="N308" s="3"/>
      <c r="O308" s="39" t="s">
        <v>49</v>
      </c>
      <c r="Q308" s="14" t="s">
        <v>105</v>
      </c>
      <c r="R308" s="49">
        <f>SUMIF(AJ315:AJ321,"VOLUME",AL315:AL321)</f>
        <v>90</v>
      </c>
      <c r="S308" s="50" t="s">
        <v>22</v>
      </c>
      <c r="T308" s="50"/>
      <c r="V308" s="44" t="s">
        <v>96</v>
      </c>
      <c r="W308" s="51">
        <f>I307</f>
        <v>9</v>
      </c>
      <c r="X308" s="46" t="str">
        <f>J307</f>
        <v>cl</v>
      </c>
      <c r="Y308" s="43"/>
      <c r="Z308" s="44" t="s">
        <v>82</v>
      </c>
      <c r="AA308" s="54" t="str">
        <f>F306</f>
        <v>Tumbler (Old Fashioned)</v>
      </c>
      <c r="AB308" s="43"/>
      <c r="AC308" s="44" t="s">
        <v>106</v>
      </c>
      <c r="AD308" s="45">
        <f>R315</f>
        <v>25</v>
      </c>
      <c r="AE308" s="46" t="s">
        <v>32</v>
      </c>
      <c r="AF308" s="4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</row>
    <row r="309" spans="1:45" ht="24.95" customHeight="1">
      <c r="A309" s="712"/>
      <c r="B309" s="27" t="s">
        <v>110</v>
      </c>
      <c r="C309" s="55" t="s">
        <v>7384</v>
      </c>
      <c r="D309" s="55"/>
      <c r="E309" s="154"/>
      <c r="F309" s="154"/>
      <c r="G309" s="154"/>
      <c r="H309" s="154"/>
      <c r="I309" s="154"/>
      <c r="J309" s="154"/>
      <c r="K309" s="154"/>
      <c r="L309" s="30"/>
      <c r="M309" s="33"/>
      <c r="N309" s="3"/>
      <c r="O309" s="39" t="s">
        <v>316</v>
      </c>
      <c r="Q309" s="14" t="s">
        <v>113</v>
      </c>
      <c r="R309" s="49">
        <f>IF(OR(R308=0,NOT(ISNUMBER(I306)),I306&lt;=0),"",R308/I306/10)</f>
        <v>9</v>
      </c>
      <c r="S309" s="50" t="s">
        <v>32</v>
      </c>
      <c r="T309" s="50"/>
      <c r="V309" s="44" t="s">
        <v>114</v>
      </c>
      <c r="W309" s="51" t="str">
        <f>IF(I307="","",IF(R315="","⚠ À CONTRÔLER",IF(I307&lt;=R315,"✔ OK","❌ DÉPASSE CAPACITÉ")))</f>
        <v>✔ OK</v>
      </c>
      <c r="X309" s="43"/>
      <c r="Y309" s="43"/>
      <c r="Z309" s="44"/>
      <c r="AA309" s="56"/>
      <c r="AB309" s="43"/>
      <c r="AC309" s="43"/>
      <c r="AD309" s="46"/>
      <c r="AE309" s="46"/>
      <c r="AF309" s="4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</row>
    <row r="310" spans="1:45" ht="24.95" customHeight="1">
      <c r="A310" s="712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3"/>
      <c r="N310" s="3"/>
      <c r="O310" s="39" t="s">
        <v>318</v>
      </c>
      <c r="Q310" s="14" t="s">
        <v>118</v>
      </c>
      <c r="R310" s="155">
        <f>IF(AN322=0,"",SUM(AQ315:AQ321)/AN322*100)</f>
        <v>20</v>
      </c>
      <c r="S310" s="50" t="s">
        <v>88</v>
      </c>
      <c r="T310" s="50"/>
      <c r="V310" s="44" t="s">
        <v>110</v>
      </c>
      <c r="W310" s="46" t="str">
        <f>C309</f>
        <v>Sour à base de bourbon, citron et sucre, avec blanc d'œuf</v>
      </c>
      <c r="X310" s="43"/>
      <c r="Y310" s="43"/>
      <c r="Z310" s="44"/>
      <c r="AA310" s="56"/>
      <c r="AB310" s="43"/>
      <c r="AC310" s="43"/>
      <c r="AD310" s="46"/>
      <c r="AE310" s="46"/>
      <c r="AF310" s="4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</row>
    <row r="311" spans="1:45" ht="24.95" customHeight="1">
      <c r="A311" s="712"/>
      <c r="B311" s="57" t="s">
        <v>121</v>
      </c>
      <c r="C311" s="58" t="s">
        <v>7276</v>
      </c>
      <c r="D311" s="58"/>
      <c r="E311" s="59"/>
      <c r="F311" s="57" t="s">
        <v>123</v>
      </c>
      <c r="G311" s="58" t="s">
        <v>7277</v>
      </c>
      <c r="H311" s="60"/>
      <c r="I311" s="60"/>
      <c r="J311" s="61"/>
      <c r="K311" s="61"/>
      <c r="L311" s="61"/>
      <c r="M311" s="62"/>
      <c r="N311" s="3"/>
      <c r="O311" s="39" t="s">
        <v>320</v>
      </c>
      <c r="Q311" s="14" t="s">
        <v>126</v>
      </c>
      <c r="R311" s="156">
        <f>SUM(AR315:AR321)</f>
        <v>41.339999999999996</v>
      </c>
      <c r="S311" s="50" t="s">
        <v>90</v>
      </c>
      <c r="T311" s="50"/>
      <c r="V311" s="44" t="s">
        <v>121</v>
      </c>
      <c r="W311" s="46" t="str">
        <f>C311</f>
        <v>Référence classique — adaptation CFA</v>
      </c>
      <c r="X311" s="43"/>
      <c r="Y311" s="43"/>
      <c r="Z311" s="44" t="s">
        <v>94</v>
      </c>
      <c r="AA311" s="54" t="str">
        <f>C307</f>
        <v>*** acidulé boisé</v>
      </c>
      <c r="AB311" s="43"/>
      <c r="AC311" s="759" t="str">
        <f>UPPER(LEFT(C305,1))&amp;" . "&amp;UPPER(LEFT(C305,1))&amp;LOWER(MID(C305,2,999))&amp;" . "&amp;UPPER(LEFT(F305,1))&amp;LOWER(MID(F305,2,999))&amp;" . "&amp;UPPER(LEFT(I305,1))&amp;LOWER(MID(I305,2,999))&amp;" . "&amp;"Verre "&amp;UPPER(LEFT(F306,1))&amp;LOWER(MID(F306,2,999))&amp;IF(LEFT(L305,1)=UPPER(LEFT(L305,1)),".","")&amp;UPPER(LEFT(L305,1))&amp;LOWER(MID(L305,2,999))&amp;"  couleur "&amp;C306&amp;"  intensité "&amp;C307</f>
        <v>W . Whisky sour . Avec alcool . All day . Verre Tumbler (old fashioned).On the rocks  couleur ambré pâle  intensité *** acidulé boisé</v>
      </c>
      <c r="AD311" s="759"/>
      <c r="AE311" s="759"/>
      <c r="AF311" s="759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</row>
    <row r="312" spans="1:45" ht="24.95" customHeight="1">
      <c r="A312" s="712"/>
      <c r="B312" s="10" t="s">
        <v>131</v>
      </c>
      <c r="C312" s="10" t="s">
        <v>132</v>
      </c>
      <c r="D312" s="10"/>
      <c r="E312" s="10"/>
      <c r="F312" s="10"/>
      <c r="G312" s="10"/>
      <c r="H312" s="10"/>
      <c r="I312" s="10"/>
      <c r="J312" s="11" t="str">
        <f>IF(COUNTIF(C314:C320,"*~**")+COUNTIF(C314:C320,"*~?*")=0,"",IF(COUNTIF(C314:C320,"*~**")&gt;0,COUNTIF(C314:C320,"*~**")&amp;" allergène"&amp;IF(COUNTIF(C314:C320,"*~**")&gt;1,"s","")&amp;" repéré"&amp;IF(COUNTIF(C314:C320,"*~**")&gt;1,"s","")&amp;" par *","")&amp;IF(AND(COUNTIF(C314:C320,"*~**")&gt;0,COUNTIF(C314:C320,"*~?*")&gt;0)," | ","")&amp;IF(COUNTIF(C314:C320,"*~?*")&gt;0,COUNTIF(C314:C320,"*~?*")&amp;" produit"&amp;IF(COUNTIF(C314:C320,"*~?*")&gt;1,"s","")&amp;" à vérifier par ?",""))</f>
        <v>1 allergène repéré par *</v>
      </c>
      <c r="K312" s="10"/>
      <c r="L312" s="10"/>
      <c r="M312" s="63"/>
      <c r="N312" s="3"/>
      <c r="O312" s="39" t="s">
        <v>53</v>
      </c>
      <c r="Q312" s="14" t="s">
        <v>134</v>
      </c>
      <c r="R312" s="156">
        <f>IF(OR(R311="",R313="",R313=0),"",R311/R313)</f>
        <v>1.5899999999999999</v>
      </c>
      <c r="S312" s="50" t="s">
        <v>135</v>
      </c>
      <c r="T312" s="50"/>
      <c r="V312" s="852" t="s">
        <v>136</v>
      </c>
      <c r="W312" s="853">
        <f>R311</f>
        <v>41.339999999999996</v>
      </c>
      <c r="X312" s="854" t="s">
        <v>90</v>
      </c>
      <c r="Y312" s="43"/>
      <c r="Z312" s="44" t="s">
        <v>137</v>
      </c>
      <c r="AA312" s="54" t="str">
        <f>C305</f>
        <v>WHISKY SOUR</v>
      </c>
      <c r="AB312" s="43"/>
      <c r="AC312" s="759"/>
      <c r="AD312" s="759"/>
      <c r="AE312" s="759"/>
      <c r="AF312" s="759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</row>
    <row r="313" spans="1:45" ht="24.95" customHeight="1">
      <c r="A313" s="712"/>
      <c r="B313" s="66">
        <v>0</v>
      </c>
      <c r="C313" s="64" t="s">
        <v>141</v>
      </c>
      <c r="D313" s="65" t="s">
        <v>142</v>
      </c>
      <c r="E313" s="64" t="s">
        <v>9</v>
      </c>
      <c r="F313" s="66" t="s">
        <v>143</v>
      </c>
      <c r="G313" s="66" t="s">
        <v>144</v>
      </c>
      <c r="H313" s="66" t="s">
        <v>145</v>
      </c>
      <c r="I313" s="67" t="s">
        <v>146</v>
      </c>
      <c r="J313" s="67" t="s">
        <v>847</v>
      </c>
      <c r="K313" s="67" t="s">
        <v>148</v>
      </c>
      <c r="L313" s="67" t="s">
        <v>149</v>
      </c>
      <c r="M313" s="68" t="s">
        <v>150</v>
      </c>
      <c r="N313" s="3"/>
      <c r="O313" s="39" t="s">
        <v>58</v>
      </c>
      <c r="Q313" s="14" t="s">
        <v>152</v>
      </c>
      <c r="R313" s="49">
        <f>IF(AND(ISNUMBER(R306),R306&gt;0,ISNUMBER(I307),I307&gt;0),R306*1000/(I307*10),IF(AND(ISNUMBER(R305),R305&gt;0),R305,""))</f>
        <v>26</v>
      </c>
      <c r="S313" s="50" t="s">
        <v>76</v>
      </c>
      <c r="T313" s="50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H313" s="25" t="s">
        <v>153</v>
      </c>
      <c r="AI313" s="25"/>
      <c r="AJ313" s="25" t="s">
        <v>490</v>
      </c>
      <c r="AK313" s="25"/>
      <c r="AL313" s="25"/>
      <c r="AM313" s="25"/>
      <c r="AN313" s="26"/>
      <c r="AO313" s="26"/>
      <c r="AP313" s="26"/>
      <c r="AQ313" s="26"/>
      <c r="AR313" s="26"/>
      <c r="AS313" s="26"/>
    </row>
    <row r="314" spans="1:45" ht="24.95" customHeight="1">
      <c r="A314" s="712"/>
      <c r="B314" s="731">
        <v>1</v>
      </c>
      <c r="C314" s="70" t="s">
        <v>637</v>
      </c>
      <c r="D314" s="79">
        <v>4.5</v>
      </c>
      <c r="E314" s="18" t="s">
        <v>32</v>
      </c>
      <c r="F314" s="72">
        <v>40</v>
      </c>
      <c r="G314" s="732">
        <v>0.95</v>
      </c>
      <c r="H314" s="733" t="s">
        <v>156</v>
      </c>
      <c r="I314" s="161">
        <v>28</v>
      </c>
      <c r="J314" s="73"/>
      <c r="K314" s="73"/>
      <c r="L314" s="73"/>
      <c r="M314" s="74"/>
      <c r="N314" s="3"/>
      <c r="O314" s="39" t="s">
        <v>79</v>
      </c>
      <c r="Q314" s="14" t="s">
        <v>158</v>
      </c>
      <c r="R314" s="75" t="str">
        <f>IF(AND(ISNUMBER(R306),R306&gt;0),"VOLUME TOTAL",IF(AND(ISNUMBER(R305),R305&gt;0),"NOMBRE DE COCKTAILS","RÉFÉRENCE"))</f>
        <v>NOMBRE DE COCKTAILS</v>
      </c>
      <c r="S314" s="50"/>
      <c r="T314" s="50"/>
      <c r="V314" s="831" t="s">
        <v>159</v>
      </c>
      <c r="W314" s="36" t="s">
        <v>160</v>
      </c>
      <c r="X314" s="76" t="s">
        <v>161</v>
      </c>
      <c r="Y314" s="835" t="s">
        <v>162</v>
      </c>
      <c r="Z314" s="838" t="s">
        <v>163</v>
      </c>
      <c r="AA314" s="36" t="s">
        <v>164</v>
      </c>
      <c r="AB314" s="36" t="s">
        <v>9</v>
      </c>
      <c r="AC314" s="841" t="s">
        <v>165</v>
      </c>
      <c r="AD314" s="296" t="s">
        <v>166</v>
      </c>
      <c r="AE314" s="36" t="s">
        <v>146</v>
      </c>
      <c r="AF314" s="833" t="s">
        <v>167</v>
      </c>
      <c r="AH314" s="77" t="s">
        <v>168</v>
      </c>
      <c r="AI314" s="78" t="s">
        <v>159</v>
      </c>
      <c r="AJ314" s="77" t="s">
        <v>10</v>
      </c>
      <c r="AK314" s="77" t="s">
        <v>169</v>
      </c>
      <c r="AL314" s="77" t="s">
        <v>170</v>
      </c>
      <c r="AM314" s="77" t="s">
        <v>91</v>
      </c>
      <c r="AN314" s="78" t="s">
        <v>161</v>
      </c>
      <c r="AO314" s="77" t="s">
        <v>171</v>
      </c>
      <c r="AP314" s="77" t="s">
        <v>172</v>
      </c>
      <c r="AQ314" s="77" t="s">
        <v>165</v>
      </c>
      <c r="AR314" s="77" t="s">
        <v>167</v>
      </c>
      <c r="AS314" s="77" t="s">
        <v>173</v>
      </c>
    </row>
    <row r="315" spans="1:45" ht="24.95" customHeight="1">
      <c r="A315" s="712"/>
      <c r="B315" s="734">
        <v>2</v>
      </c>
      <c r="C315" s="70" t="s">
        <v>7385</v>
      </c>
      <c r="D315" s="79">
        <v>2.5</v>
      </c>
      <c r="E315" s="18" t="s">
        <v>32</v>
      </c>
      <c r="F315" s="72">
        <v>0</v>
      </c>
      <c r="G315" s="732">
        <v>1.03</v>
      </c>
      <c r="H315" s="733" t="s">
        <v>156</v>
      </c>
      <c r="I315" s="161">
        <v>3</v>
      </c>
      <c r="J315" s="73"/>
      <c r="K315" s="73"/>
      <c r="L315" s="73"/>
      <c r="M315" s="74"/>
      <c r="N315" s="3"/>
      <c r="O315" s="39" t="s">
        <v>109</v>
      </c>
      <c r="Q315" s="14" t="s">
        <v>35</v>
      </c>
      <c r="R315" s="35">
        <f>IFERROR(VLOOKUP(F306,$BB$5:$BC$40,2,FALSE),"")</f>
        <v>25</v>
      </c>
      <c r="S315" s="50" t="s">
        <v>32</v>
      </c>
      <c r="T315" s="50"/>
      <c r="V315" s="846" t="str">
        <f t="shared" ref="V315:V321" si="176">IF(AI315="","",AI315)</f>
        <v>Bourbon</v>
      </c>
      <c r="W315" s="848" t="str">
        <f t="shared" ref="W315:W321" si="177">IF(C314="","",IF(H314="QS","QS",D314&amp;" "&amp;E314))</f>
        <v>4.5 cl</v>
      </c>
      <c r="X315" s="81">
        <f t="shared" ref="X315:X321" si="178">IF(AN315="","",AN315)</f>
        <v>1170</v>
      </c>
      <c r="Y315" s="836" t="str">
        <f t="shared" ref="Y315:Y321" si="179">IF(C314="","",IF(H314="QS","Qt. suffisante",IF(AN315="","",IF(AJ315="VOLUME",IF(AN315&gt;=1000,TEXT(AO315,"0.00")&amp;" "&amp;AP315,IF(AN315&gt;=10,TEXT(AO315,"0.0")&amp;" "&amp;AP315&amp;" ► "&amp;TEXT(AN315/1000,"0.000")&amp;" L",TEXT(AO315,"0.0")&amp;" "&amp;AP315)),IF(AJ315="MASSE",TEXT(AO315,"0.00")&amp;" "&amp;AP315,AO315&amp;" "&amp;AP315)))))</f>
        <v>1.17 L</v>
      </c>
      <c r="Z315" s="839" t="str">
        <f>IF(OR(C314="",AJ315&lt;&gt;"VOLUME",AN322=0),"","≈ "&amp;TEXT(ROUND(AN315/AN322*10*2,0)/2,"0.0")&amp;"/10")</f>
        <v>≈ 5.0/10</v>
      </c>
      <c r="AA315" s="82" t="str">
        <f t="shared" ref="AA315:AA321" si="180">IF(AJ315="AUTRE",AO315,"")</f>
        <v/>
      </c>
      <c r="AB315" s="83" t="str">
        <f t="shared" ref="AB315:AB321" si="181">IF(C314="","",AP315)</f>
        <v>L</v>
      </c>
      <c r="AC315" s="842">
        <f t="shared" ref="AC315:AC321" si="182">IF(C314="","",AQ315)</f>
        <v>468</v>
      </c>
      <c r="AD315" s="163">
        <f t="shared" ref="AD315:AD321" si="183">IF(C314="","",IF(ISNUMBER(F314),F314,0))</f>
        <v>40</v>
      </c>
      <c r="AE315" s="164">
        <f t="shared" ref="AE315:AE321" si="184">IF(C314="","",IF(ISNUMBER(I314),I314,""))</f>
        <v>28</v>
      </c>
      <c r="AF315" s="855">
        <f t="shared" ref="AF315:AF321" si="185">IF(C314="","",AR315)</f>
        <v>32.76</v>
      </c>
      <c r="AH315" s="84">
        <f t="shared" ref="AH315:AH321" si="186">IF(C314="","",B314)</f>
        <v>1</v>
      </c>
      <c r="AI315" s="85" t="str">
        <f t="shared" ref="AI315:AI321" si="187">IF(C314="","",C314)</f>
        <v>Bourbon</v>
      </c>
      <c r="AJ315" s="84" t="str">
        <f t="shared" ref="AJ315:AJ321" si="188">IF(C314="","",IFERROR(VLOOKUP(E314,$AU$5:$AY$121,2,FALSE),"UNITÉ ?"))</f>
        <v>VOLUME</v>
      </c>
      <c r="AK315" s="84">
        <f t="shared" ref="AK315:AK321" si="189">IF(C314="","",IFERROR(VLOOKUP(E314,$AU$5:$AY$121,3,FALSE),""))</f>
        <v>10</v>
      </c>
      <c r="AL315" s="84">
        <f t="shared" ref="AL315:AL321" si="190">IF(OR(C314="",H314="QS",NOT(ISNUMBER(D314))),"",D314*AK315)</f>
        <v>45</v>
      </c>
      <c r="AM315" s="84">
        <f>IF(C314="","",R307)</f>
        <v>26</v>
      </c>
      <c r="AN315" s="84">
        <f t="shared" ref="AN315:AN321" si="191">IF(C314="","",IF(H314="QS","",IF(AL315="","",IF(OR(H314="F",H314="FIXE"),AL315,AL315*AM315))))</f>
        <v>1170</v>
      </c>
      <c r="AO315" s="84">
        <f t="shared" ref="AO315:AO321" si="192">IF(C314="","",IF(H314="QS","",IF(AN315="","",IF(AJ315="VOLUME",IF(AN315&gt;=1000,ROUND(AN315/1000,2),IF(AN315&gt;=10,ROUND(AN315/10,1),ROUND(AN315,1))),IF(AJ315="MASSE",IF(AN315&gt;=1000,ROUND(AN315/1000,2),ROUND(AN315,0)),ROUND(AN315,2))))))</f>
        <v>1.17</v>
      </c>
      <c r="AP315" s="84" t="str">
        <f t="shared" ref="AP315:AP321" si="193">IF(C314="","",IF(H314="QS","",IF(AN315="","",IF(AJ315="VOLUME",IF(AN315&gt;=1000,"L",IF(AN315&gt;=10,"cl","ml")),IF(AJ315="MASSE",IF(AN315&gt;=1000,"Kg","g"),IFERROR(VLOOKUP(E314,$AU$5:$AY$121,5,FALSE),E314))))))</f>
        <v>L</v>
      </c>
      <c r="AQ315" s="84">
        <f t="shared" ref="AQ315:AQ321" si="194">IF(C314="","",IF(OR(AJ315&lt;&gt;"VOLUME",NOT(ISNUMBER(F314)),AN315=""),0,AN315*F314/100))</f>
        <v>468</v>
      </c>
      <c r="AR315" s="84">
        <f t="shared" ref="AR315:AR321" si="195">IF(C314="","",IF(H314="QS",0,IF(NOT(ISNUMBER(I314)),0,IF(OR(AJ315="VOLUME",AJ315="MASSE"),AN315/1000*I314,AN315*I314))))</f>
        <v>32.76</v>
      </c>
      <c r="AS315" s="84" t="str">
        <f t="shared" ref="AS315:AS321" si="196">IF(C314="","",IF(H314="QS","OK",IF(NOT(ISNUMBER(D314)),"QUANTITÉ ?",IF(E314="","UNITÉ ?",IF(AJ315="UNITÉ ?","UNITÉ ?",IF(AND(H314&lt;&gt;"",H314&lt;&gt;"PROP",H314&lt;&gt;"F",H314&lt;&gt;"FIXE",H314&lt;&gt;"QS"),"RÈGLE ?","OK"))))))</f>
        <v>OK</v>
      </c>
    </row>
    <row r="316" spans="1:45" ht="24.95" customHeight="1">
      <c r="A316" s="712"/>
      <c r="B316" s="731">
        <v>3</v>
      </c>
      <c r="C316" s="70" t="s">
        <v>7386</v>
      </c>
      <c r="D316" s="79">
        <v>2</v>
      </c>
      <c r="E316" s="18" t="s">
        <v>32</v>
      </c>
      <c r="F316" s="72">
        <v>0</v>
      </c>
      <c r="G316" s="732">
        <v>1.3</v>
      </c>
      <c r="H316" s="733" t="s">
        <v>156</v>
      </c>
      <c r="I316" s="161">
        <v>4</v>
      </c>
      <c r="J316" s="73"/>
      <c r="K316" s="73"/>
      <c r="L316" s="73"/>
      <c r="M316" s="74"/>
      <c r="N316" s="3"/>
      <c r="O316" s="39" t="s">
        <v>326</v>
      </c>
      <c r="V316" s="846" t="str">
        <f t="shared" si="176"/>
        <v>Jus de citron jaune</v>
      </c>
      <c r="W316" s="848" t="str">
        <f t="shared" si="177"/>
        <v>2.5 cl</v>
      </c>
      <c r="X316" s="81">
        <f t="shared" si="178"/>
        <v>650</v>
      </c>
      <c r="Y316" s="836" t="str">
        <f t="shared" si="179"/>
        <v>65.0 cl ► 0.650 L</v>
      </c>
      <c r="Z316" s="839" t="str">
        <f>IF(OR(C315="",AJ316&lt;&gt;"VOLUME",AN322=0),"","≈ "&amp;TEXT(ROUND(AN316/AN322*10*2,0)/2,"0.0")&amp;"/10")</f>
        <v>≈ 3.0/10</v>
      </c>
      <c r="AA316" s="82" t="str">
        <f t="shared" si="180"/>
        <v/>
      </c>
      <c r="AB316" s="83" t="str">
        <f t="shared" si="181"/>
        <v>cl</v>
      </c>
      <c r="AC316" s="842">
        <f t="shared" si="182"/>
        <v>0</v>
      </c>
      <c r="AD316" s="163">
        <f t="shared" si="183"/>
        <v>0</v>
      </c>
      <c r="AE316" s="164">
        <f t="shared" si="184"/>
        <v>3</v>
      </c>
      <c r="AF316" s="855">
        <f t="shared" si="185"/>
        <v>1.9500000000000002</v>
      </c>
      <c r="AH316" s="84">
        <f t="shared" si="186"/>
        <v>2</v>
      </c>
      <c r="AI316" s="85" t="str">
        <f t="shared" si="187"/>
        <v>Jus de citron jaune</v>
      </c>
      <c r="AJ316" s="84" t="str">
        <f t="shared" si="188"/>
        <v>VOLUME</v>
      </c>
      <c r="AK316" s="84">
        <f t="shared" si="189"/>
        <v>10</v>
      </c>
      <c r="AL316" s="84">
        <f t="shared" si="190"/>
        <v>25</v>
      </c>
      <c r="AM316" s="84">
        <f>IF(C315="","",R307)</f>
        <v>26</v>
      </c>
      <c r="AN316" s="84">
        <f t="shared" si="191"/>
        <v>650</v>
      </c>
      <c r="AO316" s="84">
        <f t="shared" si="192"/>
        <v>65</v>
      </c>
      <c r="AP316" s="84" t="str">
        <f t="shared" si="193"/>
        <v>cl</v>
      </c>
      <c r="AQ316" s="84">
        <f t="shared" si="194"/>
        <v>0</v>
      </c>
      <c r="AR316" s="84">
        <f t="shared" si="195"/>
        <v>1.9500000000000002</v>
      </c>
      <c r="AS316" s="84" t="str">
        <f t="shared" si="196"/>
        <v>OK</v>
      </c>
    </row>
    <row r="317" spans="1:45" ht="24.95" customHeight="1">
      <c r="A317" s="712"/>
      <c r="B317" s="734">
        <v>4</v>
      </c>
      <c r="C317" s="70" t="s">
        <v>7387</v>
      </c>
      <c r="D317" s="79">
        <v>0.5</v>
      </c>
      <c r="E317" s="53" t="s">
        <v>195</v>
      </c>
      <c r="F317" s="72"/>
      <c r="G317" s="732">
        <v>1.03</v>
      </c>
      <c r="H317" s="733" t="s">
        <v>156</v>
      </c>
      <c r="I317" s="161">
        <v>0.25</v>
      </c>
      <c r="J317" s="73" t="s">
        <v>7388</v>
      </c>
      <c r="K317" s="73" t="s">
        <v>7389</v>
      </c>
      <c r="L317" s="73"/>
      <c r="M317" s="74"/>
      <c r="N317" s="3"/>
      <c r="O317" s="39" t="s">
        <v>120</v>
      </c>
      <c r="Q317" s="744" t="s">
        <v>566</v>
      </c>
      <c r="V317" s="846" t="str">
        <f t="shared" si="176"/>
        <v>Sirop de sucre</v>
      </c>
      <c r="W317" s="848" t="str">
        <f t="shared" si="177"/>
        <v>2 cl</v>
      </c>
      <c r="X317" s="81">
        <f t="shared" si="178"/>
        <v>520</v>
      </c>
      <c r="Y317" s="836" t="str">
        <f t="shared" si="179"/>
        <v>52.0 cl ► 0.520 L</v>
      </c>
      <c r="Z317" s="839" t="str">
        <f>IF(OR(C316="",AJ317&lt;&gt;"VOLUME",AN322=0),"","≈ "&amp;TEXT(ROUND(AN317/AN322*10*2,0)/2,"0.0")&amp;"/10")</f>
        <v>≈ 2.0/10</v>
      </c>
      <c r="AA317" s="82" t="str">
        <f t="shared" si="180"/>
        <v/>
      </c>
      <c r="AB317" s="83" t="str">
        <f t="shared" si="181"/>
        <v>cl</v>
      </c>
      <c r="AC317" s="842">
        <f t="shared" si="182"/>
        <v>0</v>
      </c>
      <c r="AD317" s="163">
        <f t="shared" si="183"/>
        <v>0</v>
      </c>
      <c r="AE317" s="164">
        <f t="shared" si="184"/>
        <v>4</v>
      </c>
      <c r="AF317" s="855">
        <f t="shared" si="185"/>
        <v>2.08</v>
      </c>
      <c r="AH317" s="84">
        <f t="shared" si="186"/>
        <v>3</v>
      </c>
      <c r="AI317" s="85" t="str">
        <f t="shared" si="187"/>
        <v>Sirop de sucre</v>
      </c>
      <c r="AJ317" s="84" t="str">
        <f t="shared" si="188"/>
        <v>VOLUME</v>
      </c>
      <c r="AK317" s="84">
        <f t="shared" si="189"/>
        <v>10</v>
      </c>
      <c r="AL317" s="84">
        <f t="shared" si="190"/>
        <v>20</v>
      </c>
      <c r="AM317" s="84">
        <f>IF(C316="","",R307)</f>
        <v>26</v>
      </c>
      <c r="AN317" s="84">
        <f t="shared" si="191"/>
        <v>520</v>
      </c>
      <c r="AO317" s="84">
        <f t="shared" si="192"/>
        <v>52</v>
      </c>
      <c r="AP317" s="84" t="str">
        <f t="shared" si="193"/>
        <v>cl</v>
      </c>
      <c r="AQ317" s="84">
        <f t="shared" si="194"/>
        <v>0</v>
      </c>
      <c r="AR317" s="84">
        <f t="shared" si="195"/>
        <v>2.08</v>
      </c>
      <c r="AS317" s="84" t="str">
        <f t="shared" si="196"/>
        <v>OK</v>
      </c>
    </row>
    <row r="318" spans="1:45" ht="24.95" customHeight="1">
      <c r="A318" s="712"/>
      <c r="B318" s="731">
        <v>5</v>
      </c>
      <c r="C318" s="70" t="s">
        <v>7390</v>
      </c>
      <c r="D318" s="79">
        <v>1</v>
      </c>
      <c r="E318" s="53" t="s">
        <v>236</v>
      </c>
      <c r="F318" s="72"/>
      <c r="G318" s="732">
        <v>1</v>
      </c>
      <c r="H318" s="733" t="s">
        <v>156</v>
      </c>
      <c r="I318" s="161">
        <v>0.05</v>
      </c>
      <c r="J318" s="73"/>
      <c r="K318" s="73" t="s">
        <v>7314</v>
      </c>
      <c r="L318" s="73"/>
      <c r="M318" s="74"/>
      <c r="N318" s="3"/>
      <c r="O318" s="39" t="s">
        <v>130</v>
      </c>
      <c r="Q318" s="744"/>
      <c r="V318" s="846" t="str">
        <f t="shared" si="176"/>
        <v>Blanc d'œuf*</v>
      </c>
      <c r="W318" s="848" t="str">
        <f t="shared" si="177"/>
        <v>0.5 Blanc(s) d'œuf(s)</v>
      </c>
      <c r="X318" s="81">
        <f t="shared" si="178"/>
        <v>13</v>
      </c>
      <c r="Y318" s="836" t="str">
        <f t="shared" si="179"/>
        <v>13 blanc(s) d'œuf</v>
      </c>
      <c r="Z318" s="839" t="str">
        <f>IF(OR(C317="",AJ318&lt;&gt;"VOLUME",AN322=0),"","≈ "&amp;TEXT(ROUND(AN318/AN322*10*2,0)/2,"0.0")&amp;"/10")</f>
        <v/>
      </c>
      <c r="AA318" s="82">
        <f t="shared" si="180"/>
        <v>13</v>
      </c>
      <c r="AB318" s="83" t="str">
        <f t="shared" si="181"/>
        <v>blanc(s) d'œuf</v>
      </c>
      <c r="AC318" s="842">
        <f t="shared" si="182"/>
        <v>0</v>
      </c>
      <c r="AD318" s="163">
        <f t="shared" si="183"/>
        <v>0</v>
      </c>
      <c r="AE318" s="164">
        <f t="shared" si="184"/>
        <v>0.25</v>
      </c>
      <c r="AF318" s="855">
        <f t="shared" si="185"/>
        <v>3.25</v>
      </c>
      <c r="AH318" s="84">
        <f t="shared" si="186"/>
        <v>4</v>
      </c>
      <c r="AI318" s="85" t="str">
        <f t="shared" si="187"/>
        <v>Blanc d'œuf*</v>
      </c>
      <c r="AJ318" s="84" t="str">
        <f t="shared" si="188"/>
        <v>AUTRE</v>
      </c>
      <c r="AK318" s="84">
        <f t="shared" si="189"/>
        <v>1</v>
      </c>
      <c r="AL318" s="84">
        <f t="shared" si="190"/>
        <v>0.5</v>
      </c>
      <c r="AM318" s="84">
        <f>IF(C317="","",R307)</f>
        <v>26</v>
      </c>
      <c r="AN318" s="84">
        <f t="shared" si="191"/>
        <v>13</v>
      </c>
      <c r="AO318" s="84">
        <f t="shared" si="192"/>
        <v>13</v>
      </c>
      <c r="AP318" s="84" t="str">
        <f t="shared" si="193"/>
        <v>blanc(s) d'œuf</v>
      </c>
      <c r="AQ318" s="84">
        <f t="shared" si="194"/>
        <v>0</v>
      </c>
      <c r="AR318" s="84">
        <f t="shared" si="195"/>
        <v>3.25</v>
      </c>
      <c r="AS318" s="84" t="str">
        <f t="shared" si="196"/>
        <v>OK</v>
      </c>
    </row>
    <row r="319" spans="1:45" ht="24.95" customHeight="1">
      <c r="A319" s="712"/>
      <c r="B319" s="734"/>
      <c r="C319" s="70"/>
      <c r="D319" s="79"/>
      <c r="E319" s="3"/>
      <c r="F319" s="72"/>
      <c r="G319" s="732"/>
      <c r="H319" s="733"/>
      <c r="I319" s="161"/>
      <c r="J319" s="73"/>
      <c r="K319" s="73"/>
      <c r="L319" s="73"/>
      <c r="M319" s="74"/>
      <c r="N319" s="3"/>
      <c r="O319" s="39" t="s">
        <v>140</v>
      </c>
      <c r="V319" s="846" t="str">
        <f t="shared" si="176"/>
        <v>Zeste de citron</v>
      </c>
      <c r="W319" s="848" t="str">
        <f t="shared" si="177"/>
        <v>1 Zeste(s)</v>
      </c>
      <c r="X319" s="81">
        <f t="shared" si="178"/>
        <v>26</v>
      </c>
      <c r="Y319" s="836" t="str">
        <f t="shared" si="179"/>
        <v>26 zeste(s)</v>
      </c>
      <c r="Z319" s="839" t="str">
        <f>IF(OR(C318="",AJ319&lt;&gt;"VOLUME",AN322=0),"","≈ "&amp;TEXT(ROUND(AN319/AN322*10*2,0)/2,"0.0")&amp;"/10")</f>
        <v/>
      </c>
      <c r="AA319" s="80">
        <f t="shared" si="180"/>
        <v>26</v>
      </c>
      <c r="AB319" s="83" t="str">
        <f t="shared" si="181"/>
        <v>zeste(s)</v>
      </c>
      <c r="AC319" s="842">
        <f t="shared" si="182"/>
        <v>0</v>
      </c>
      <c r="AD319" s="163">
        <f t="shared" si="183"/>
        <v>0</v>
      </c>
      <c r="AE319" s="164">
        <f t="shared" si="184"/>
        <v>0.05</v>
      </c>
      <c r="AF319" s="855">
        <f t="shared" si="185"/>
        <v>1.3</v>
      </c>
      <c r="AH319" s="84">
        <f t="shared" si="186"/>
        <v>5</v>
      </c>
      <c r="AI319" s="85" t="str">
        <f t="shared" si="187"/>
        <v>Zeste de citron</v>
      </c>
      <c r="AJ319" s="84" t="str">
        <f t="shared" si="188"/>
        <v>AUTRE</v>
      </c>
      <c r="AK319" s="84">
        <f t="shared" si="189"/>
        <v>1</v>
      </c>
      <c r="AL319" s="84">
        <f t="shared" si="190"/>
        <v>1</v>
      </c>
      <c r="AM319" s="84">
        <f>IF(C318="","",R307)</f>
        <v>26</v>
      </c>
      <c r="AN319" s="84">
        <f t="shared" si="191"/>
        <v>26</v>
      </c>
      <c r="AO319" s="84">
        <f t="shared" si="192"/>
        <v>26</v>
      </c>
      <c r="AP319" s="84" t="str">
        <f t="shared" si="193"/>
        <v>zeste(s)</v>
      </c>
      <c r="AQ319" s="84">
        <f t="shared" si="194"/>
        <v>0</v>
      </c>
      <c r="AR319" s="84">
        <f t="shared" si="195"/>
        <v>1.3</v>
      </c>
      <c r="AS319" s="84" t="str">
        <f t="shared" si="196"/>
        <v>OK</v>
      </c>
    </row>
    <row r="320" spans="1:45" ht="24.95" customHeight="1">
      <c r="A320" s="712"/>
      <c r="B320" s="731"/>
      <c r="C320" s="70"/>
      <c r="D320" s="79"/>
      <c r="E320" s="3"/>
      <c r="F320" s="72"/>
      <c r="G320" s="732"/>
      <c r="H320" s="733"/>
      <c r="I320" s="161"/>
      <c r="J320" s="73"/>
      <c r="K320" s="73"/>
      <c r="L320" s="73"/>
      <c r="M320" s="74"/>
      <c r="N320" s="3"/>
      <c r="O320" s="39" t="s">
        <v>331</v>
      </c>
      <c r="Q320" s="355" t="s">
        <v>558</v>
      </c>
      <c r="V320" s="847" t="str">
        <f t="shared" si="176"/>
        <v/>
      </c>
      <c r="W320" s="849" t="str">
        <f t="shared" si="177"/>
        <v/>
      </c>
      <c r="X320" s="86" t="str">
        <f t="shared" si="178"/>
        <v/>
      </c>
      <c r="Y320" s="837" t="str">
        <f t="shared" si="179"/>
        <v/>
      </c>
      <c r="Z320" s="840" t="str">
        <f>IF(OR(C319="",AJ320&lt;&gt;"VOLUME",AN322=0),"","≈ "&amp;TEXT(ROUND(AN320/AN322*10*2,0)/2,"0.0")&amp;"/10")</f>
        <v/>
      </c>
      <c r="AA320" s="87" t="str">
        <f t="shared" si="180"/>
        <v/>
      </c>
      <c r="AB320" s="88" t="str">
        <f t="shared" si="181"/>
        <v/>
      </c>
      <c r="AC320" s="843" t="str">
        <f t="shared" si="182"/>
        <v/>
      </c>
      <c r="AD320" s="88" t="str">
        <f t="shared" si="183"/>
        <v/>
      </c>
      <c r="AE320" s="88" t="str">
        <f t="shared" si="184"/>
        <v/>
      </c>
      <c r="AF320" s="834" t="str">
        <f t="shared" si="185"/>
        <v/>
      </c>
      <c r="AH320" s="84" t="str">
        <f t="shared" si="186"/>
        <v/>
      </c>
      <c r="AI320" s="85" t="str">
        <f t="shared" si="187"/>
        <v/>
      </c>
      <c r="AJ320" s="84" t="str">
        <f t="shared" si="188"/>
        <v/>
      </c>
      <c r="AK320" s="84" t="str">
        <f t="shared" si="189"/>
        <v/>
      </c>
      <c r="AL320" s="84" t="str">
        <f t="shared" si="190"/>
        <v/>
      </c>
      <c r="AM320" s="84" t="str">
        <f>IF(C319="","",R307)</f>
        <v/>
      </c>
      <c r="AN320" s="84" t="str">
        <f t="shared" si="191"/>
        <v/>
      </c>
      <c r="AO320" s="84" t="str">
        <f t="shared" si="192"/>
        <v/>
      </c>
      <c r="AP320" s="84" t="str">
        <f t="shared" si="193"/>
        <v/>
      </c>
      <c r="AQ320" s="84" t="str">
        <f t="shared" si="194"/>
        <v/>
      </c>
      <c r="AR320" s="84" t="str">
        <f t="shared" si="195"/>
        <v/>
      </c>
      <c r="AS320" s="84" t="str">
        <f t="shared" si="196"/>
        <v/>
      </c>
    </row>
    <row r="321" spans="1:45" ht="24.95" customHeight="1">
      <c r="A321" s="712"/>
      <c r="B321" s="14" t="s">
        <v>44</v>
      </c>
      <c r="C321" s="146" t="s">
        <v>198</v>
      </c>
      <c r="D321" s="89"/>
      <c r="E321" s="89"/>
      <c r="F321" s="89"/>
      <c r="G321" s="89"/>
      <c r="H321" s="89"/>
      <c r="I321" s="89"/>
      <c r="J321" s="89"/>
      <c r="K321" s="89"/>
      <c r="L321" s="89"/>
      <c r="M321" s="90"/>
      <c r="N321" s="3"/>
      <c r="O321" s="39" t="s">
        <v>333</v>
      </c>
      <c r="Q321"/>
      <c r="V321" s="847" t="str">
        <f t="shared" si="176"/>
        <v/>
      </c>
      <c r="W321" s="849" t="str">
        <f t="shared" si="177"/>
        <v/>
      </c>
      <c r="X321" s="86" t="str">
        <f t="shared" si="178"/>
        <v/>
      </c>
      <c r="Y321" s="837" t="str">
        <f t="shared" si="179"/>
        <v/>
      </c>
      <c r="Z321" s="840" t="str">
        <f>IF(OR(C320="",AJ321&lt;&gt;"VOLUME",AN322=0),"","≈ "&amp;TEXT(ROUND(AN321/AN322*10*2,0)/2,"0.0")&amp;"/10")</f>
        <v/>
      </c>
      <c r="AA321" s="87" t="str">
        <f t="shared" si="180"/>
        <v/>
      </c>
      <c r="AB321" s="88" t="str">
        <f t="shared" si="181"/>
        <v/>
      </c>
      <c r="AC321" s="843" t="str">
        <f t="shared" si="182"/>
        <v/>
      </c>
      <c r="AD321" s="88" t="str">
        <f t="shared" si="183"/>
        <v/>
      </c>
      <c r="AE321" s="88" t="str">
        <f t="shared" si="184"/>
        <v/>
      </c>
      <c r="AF321" s="834" t="str">
        <f t="shared" si="185"/>
        <v/>
      </c>
      <c r="AH321" s="84" t="str">
        <f t="shared" si="186"/>
        <v/>
      </c>
      <c r="AI321" s="85" t="str">
        <f t="shared" si="187"/>
        <v/>
      </c>
      <c r="AJ321" s="84" t="str">
        <f t="shared" si="188"/>
        <v/>
      </c>
      <c r="AK321" s="84" t="str">
        <f t="shared" si="189"/>
        <v/>
      </c>
      <c r="AL321" s="84" t="str">
        <f t="shared" si="190"/>
        <v/>
      </c>
      <c r="AM321" s="84" t="str">
        <f>IF(C320="","",R307)</f>
        <v/>
      </c>
      <c r="AN321" s="84" t="str">
        <f t="shared" si="191"/>
        <v/>
      </c>
      <c r="AO321" s="84" t="str">
        <f t="shared" si="192"/>
        <v/>
      </c>
      <c r="AP321" s="84" t="str">
        <f t="shared" si="193"/>
        <v/>
      </c>
      <c r="AQ321" s="84" t="str">
        <f t="shared" si="194"/>
        <v/>
      </c>
      <c r="AR321" s="84" t="str">
        <f t="shared" si="195"/>
        <v/>
      </c>
      <c r="AS321" s="84" t="str">
        <f t="shared" si="196"/>
        <v/>
      </c>
    </row>
    <row r="322" spans="1:45" ht="24.95" customHeight="1">
      <c r="A322" s="712"/>
      <c r="B322" s="91">
        <v>0</v>
      </c>
      <c r="C322" s="10" t="s">
        <v>491</v>
      </c>
      <c r="D322" s="11"/>
      <c r="E322" s="11"/>
      <c r="F322" s="11"/>
      <c r="G322" s="11"/>
      <c r="H322" s="11"/>
      <c r="I322" s="11"/>
      <c r="J322" s="11"/>
      <c r="K322" s="11"/>
      <c r="L322" s="11"/>
      <c r="M322" s="92"/>
      <c r="N322" s="3"/>
      <c r="O322" s="39" t="s">
        <v>334</v>
      </c>
      <c r="Q322" s="29" t="s">
        <v>70</v>
      </c>
      <c r="V322" s="851" t="s">
        <v>203</v>
      </c>
      <c r="W322" s="93"/>
      <c r="X322" s="845">
        <f>AN322</f>
        <v>2340</v>
      </c>
      <c r="Y322" s="835" t="str">
        <f>IF(AN322=0,"",TEXT(AN322/1000,"0.000")&amp;" L")</f>
        <v>2.340 L</v>
      </c>
      <c r="Z322" s="857"/>
      <c r="AA322" s="93"/>
      <c r="AB322" s="93"/>
      <c r="AC322" s="832">
        <f>AQ322</f>
        <v>468</v>
      </c>
      <c r="AD322" s="844">
        <f>IF(AN322=0,"",AQ322/AN322*100)</f>
        <v>20</v>
      </c>
      <c r="AE322" s="93"/>
      <c r="AF322" s="856">
        <f>AR322</f>
        <v>41.339999999999996</v>
      </c>
      <c r="AH322" s="94" t="s">
        <v>203</v>
      </c>
      <c r="AI322" s="94"/>
      <c r="AJ322" s="94"/>
      <c r="AK322" s="94"/>
      <c r="AL322" s="94"/>
      <c r="AM322" s="94"/>
      <c r="AN322" s="94">
        <f>SUMIF(AJ315:AJ321,"VOLUME",AN315:AN321)</f>
        <v>2340</v>
      </c>
      <c r="AO322" s="94"/>
      <c r="AP322" s="94"/>
      <c r="AQ322" s="94">
        <f>SUM(AQ315:AQ321)</f>
        <v>468</v>
      </c>
      <c r="AR322" s="94">
        <f>SUM(AR315:AR321)</f>
        <v>41.339999999999996</v>
      </c>
      <c r="AS322" s="94" t="str">
        <f>IF(COUNTIF(AS315:AS321,"&lt;&gt;OK")-COUNTBLANK(AS315:AS321)=0,"OK","À CONTRÔLER")</f>
        <v>OK</v>
      </c>
    </row>
    <row r="323" spans="1:45" ht="24.95" customHeight="1">
      <c r="A323" s="712"/>
      <c r="B323" s="95">
        <v>1</v>
      </c>
      <c r="C323" s="96" t="s">
        <v>7391</v>
      </c>
      <c r="D323" s="96"/>
      <c r="E323" s="96"/>
      <c r="F323" s="96"/>
      <c r="G323" s="96"/>
      <c r="H323" s="96"/>
      <c r="I323" s="96"/>
      <c r="J323" s="96"/>
      <c r="K323" s="96"/>
      <c r="L323" s="96"/>
      <c r="M323" s="74"/>
      <c r="N323" s="3"/>
      <c r="O323" s="39" t="s">
        <v>336</v>
      </c>
      <c r="Q323" s="184"/>
      <c r="V323" s="832" t="s">
        <v>208</v>
      </c>
      <c r="W323" s="19" t="s">
        <v>209</v>
      </c>
      <c r="X323" s="36"/>
      <c r="Y323" s="858"/>
      <c r="Z323" s="859"/>
      <c r="AA323" s="97"/>
      <c r="AB323" s="97"/>
      <c r="AC323" s="97"/>
      <c r="AD323" s="97"/>
      <c r="AE323" s="97"/>
      <c r="AF323" s="860"/>
      <c r="AH323" s="3" t="s">
        <v>6994</v>
      </c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</row>
    <row r="324" spans="1:45" ht="24.95" customHeight="1">
      <c r="A324" s="712"/>
      <c r="B324" s="95">
        <v>2</v>
      </c>
      <c r="C324" s="96" t="s">
        <v>7392</v>
      </c>
      <c r="D324" s="96"/>
      <c r="E324" s="96"/>
      <c r="F324" s="96"/>
      <c r="G324" s="96"/>
      <c r="H324" s="96"/>
      <c r="I324" s="96"/>
      <c r="J324" s="96"/>
      <c r="K324" s="96"/>
      <c r="L324" s="96"/>
      <c r="M324" s="74"/>
      <c r="N324" s="3"/>
      <c r="O324" s="39" t="s">
        <v>338</v>
      </c>
      <c r="P324" s="3"/>
      <c r="Q324" s="29" t="s">
        <v>584</v>
      </c>
      <c r="V324" s="98" t="str">
        <f t="shared" ref="V324:V331" si="197">IF(C323="","",C323)</f>
        <v>Préparer le tumbler et le shaker.</v>
      </c>
      <c r="W324" s="98"/>
      <c r="X324" s="98"/>
      <c r="Y324" s="98"/>
      <c r="Z324" s="98"/>
      <c r="AA324" s="98"/>
      <c r="AB324" s="98"/>
      <c r="AC324" s="98"/>
      <c r="AD324" s="98"/>
      <c r="AE324" s="98"/>
      <c r="AF324" s="98"/>
      <c r="AH324" s="146" t="s">
        <v>214</v>
      </c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3"/>
    </row>
    <row r="325" spans="1:45" ht="24.95" customHeight="1">
      <c r="A325" s="712"/>
      <c r="B325" s="95">
        <v>3</v>
      </c>
      <c r="C325" s="96" t="s">
        <v>7393</v>
      </c>
      <c r="D325" s="96"/>
      <c r="E325" s="96"/>
      <c r="F325" s="96"/>
      <c r="G325" s="96"/>
      <c r="H325" s="96"/>
      <c r="I325" s="96"/>
      <c r="J325" s="96"/>
      <c r="K325" s="96"/>
      <c r="L325" s="96"/>
      <c r="M325" s="74"/>
      <c r="N325" s="3"/>
      <c r="O325" s="39" t="s">
        <v>339</v>
      </c>
      <c r="P325" s="3"/>
      <c r="Q325"/>
      <c r="R325" s="3"/>
      <c r="S325" s="3"/>
      <c r="T325" s="3"/>
      <c r="U325" s="3"/>
      <c r="V325" s="98" t="str">
        <f t="shared" si="197"/>
        <v>Verser bourbon, citron, sirop et blanc d’œuf.</v>
      </c>
      <c r="W325" s="98"/>
      <c r="X325" s="98"/>
      <c r="Y325" s="98"/>
      <c r="Z325" s="98"/>
      <c r="AA325" s="98"/>
      <c r="AB325" s="98"/>
      <c r="AC325" s="98"/>
      <c r="AD325" s="98"/>
      <c r="AE325" s="98"/>
      <c r="AF325" s="98"/>
      <c r="AH325" s="165" t="s">
        <v>219</v>
      </c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</row>
    <row r="326" spans="1:45" ht="24.95" customHeight="1">
      <c r="A326" s="712"/>
      <c r="B326" s="95">
        <v>4</v>
      </c>
      <c r="C326" s="96" t="s">
        <v>7394</v>
      </c>
      <c r="D326" s="96"/>
      <c r="E326" s="96"/>
      <c r="F326" s="96"/>
      <c r="G326" s="96"/>
      <c r="H326" s="96"/>
      <c r="I326" s="96"/>
      <c r="J326" s="96"/>
      <c r="K326" s="96"/>
      <c r="L326" s="96"/>
      <c r="M326" s="74"/>
      <c r="N326" s="3"/>
      <c r="O326" s="39" t="s">
        <v>340</v>
      </c>
      <c r="P326" s="3"/>
      <c r="Q326" s="356" t="s">
        <v>564</v>
      </c>
      <c r="R326" s="3"/>
      <c r="S326" s="3"/>
      <c r="T326" s="3"/>
      <c r="U326" s="3"/>
      <c r="V326" s="98" t="str">
        <f t="shared" si="197"/>
        <v>Effectuer un premier shake sans glace pour émulsionner.</v>
      </c>
      <c r="W326" s="98"/>
      <c r="X326" s="98"/>
      <c r="Y326" s="98"/>
      <c r="Z326" s="98"/>
      <c r="AA326" s="98"/>
      <c r="AB326" s="98"/>
      <c r="AC326" s="98"/>
      <c r="AD326" s="98"/>
      <c r="AE326" s="98"/>
      <c r="AF326" s="98"/>
      <c r="AH326" s="166" t="s">
        <v>222</v>
      </c>
      <c r="AI326" s="167" t="s">
        <v>223</v>
      </c>
      <c r="AJ326" s="165"/>
      <c r="AK326" s="167" t="s">
        <v>224</v>
      </c>
      <c r="AL326" s="165"/>
      <c r="AM326" s="165"/>
      <c r="AN326" s="165"/>
      <c r="AO326" s="167" t="s">
        <v>225</v>
      </c>
      <c r="AP326" s="165"/>
      <c r="AQ326" s="165"/>
      <c r="AR326" s="165"/>
    </row>
    <row r="327" spans="1:45" ht="24.95" customHeight="1">
      <c r="A327" s="712"/>
      <c r="B327" s="95">
        <v>5</v>
      </c>
      <c r="C327" s="96" t="s">
        <v>7395</v>
      </c>
      <c r="D327" s="96"/>
      <c r="E327" s="96"/>
      <c r="F327" s="96"/>
      <c r="G327" s="96"/>
      <c r="H327" s="96"/>
      <c r="I327" s="96"/>
      <c r="J327" s="96"/>
      <c r="K327" s="96"/>
      <c r="L327" s="96"/>
      <c r="M327" s="74"/>
      <c r="N327" s="3"/>
      <c r="O327" s="39" t="s">
        <v>175</v>
      </c>
      <c r="P327" s="3"/>
      <c r="Q327"/>
      <c r="R327" s="3"/>
      <c r="S327" s="3"/>
      <c r="T327" s="3"/>
      <c r="U327" s="3"/>
      <c r="V327" s="98" t="str">
        <f t="shared" si="197"/>
        <v>Ajouter la glace puis shaker de nouveau.</v>
      </c>
      <c r="W327" s="98"/>
      <c r="X327" s="98"/>
      <c r="Y327" s="98"/>
      <c r="Z327" s="98"/>
      <c r="AA327" s="98"/>
      <c r="AB327" s="98"/>
      <c r="AC327" s="98"/>
      <c r="AD327" s="98"/>
      <c r="AE327" s="98"/>
      <c r="AF327" s="98"/>
      <c r="AH327" s="750" t="s">
        <v>156</v>
      </c>
      <c r="AI327" s="748" t="s">
        <v>230</v>
      </c>
      <c r="AJ327" s="748"/>
      <c r="AK327" s="749" t="s">
        <v>231</v>
      </c>
      <c r="AL327" s="749"/>
      <c r="AM327" s="749"/>
      <c r="AN327" s="749"/>
      <c r="AO327" s="746" t="s">
        <v>232</v>
      </c>
      <c r="AP327" s="746"/>
      <c r="AQ327" s="746"/>
      <c r="AR327" s="746"/>
    </row>
    <row r="328" spans="1:45" ht="24.95" customHeight="1">
      <c r="A328" s="712"/>
      <c r="B328" s="95">
        <v>6</v>
      </c>
      <c r="C328" s="96" t="s">
        <v>7396</v>
      </c>
      <c r="D328" s="96"/>
      <c r="E328" s="96"/>
      <c r="F328" s="96"/>
      <c r="G328" s="96"/>
      <c r="H328" s="96"/>
      <c r="I328" s="96"/>
      <c r="J328" s="96"/>
      <c r="K328" s="96"/>
      <c r="L328" s="96"/>
      <c r="M328" s="74"/>
      <c r="N328" s="3"/>
      <c r="O328" s="39" t="s">
        <v>341</v>
      </c>
      <c r="P328" s="3"/>
      <c r="Q328" s="356" t="s">
        <v>72</v>
      </c>
      <c r="R328" s="3"/>
      <c r="S328" s="3"/>
      <c r="T328" s="3"/>
      <c r="U328" s="3"/>
      <c r="V328" s="98" t="str">
        <f t="shared" si="197"/>
        <v>Remplir le tumbler de glace fraîche si service on the rocks.</v>
      </c>
      <c r="W328" s="98"/>
      <c r="X328" s="98"/>
      <c r="Y328" s="98"/>
      <c r="Z328" s="98"/>
      <c r="AA328" s="98"/>
      <c r="AB328" s="98"/>
      <c r="AC328" s="98"/>
      <c r="AD328" s="98"/>
      <c r="AE328" s="98"/>
      <c r="AF328" s="98"/>
      <c r="AH328" s="750"/>
      <c r="AI328" s="748"/>
      <c r="AJ328" s="748"/>
      <c r="AK328" s="749"/>
      <c r="AL328" s="749"/>
      <c r="AM328" s="749"/>
      <c r="AN328" s="749"/>
      <c r="AO328" s="746"/>
      <c r="AP328" s="746"/>
      <c r="AQ328" s="746"/>
      <c r="AR328" s="746"/>
    </row>
    <row r="329" spans="1:45" ht="24.95" customHeight="1">
      <c r="A329" s="712"/>
      <c r="B329" s="95">
        <v>7</v>
      </c>
      <c r="C329" s="96" t="s">
        <v>7397</v>
      </c>
      <c r="D329" s="96"/>
      <c r="E329" s="96"/>
      <c r="F329" s="96"/>
      <c r="G329" s="96"/>
      <c r="H329" s="96"/>
      <c r="I329" s="96"/>
      <c r="J329" s="96"/>
      <c r="K329" s="96"/>
      <c r="L329" s="96"/>
      <c r="M329" s="74"/>
      <c r="N329" s="3"/>
      <c r="O329" s="39" t="s">
        <v>344</v>
      </c>
      <c r="P329" s="3"/>
      <c r="Q329"/>
      <c r="R329" s="3"/>
      <c r="S329" s="3"/>
      <c r="T329" s="3"/>
      <c r="U329" s="3"/>
      <c r="V329" s="98" t="str">
        <f t="shared" si="197"/>
        <v>Filtrer la préparation dans le verre.</v>
      </c>
      <c r="W329" s="98"/>
      <c r="X329" s="98"/>
      <c r="Y329" s="98"/>
      <c r="Z329" s="98"/>
      <c r="AA329" s="98"/>
      <c r="AB329" s="98"/>
      <c r="AC329" s="98"/>
      <c r="AD329" s="98"/>
      <c r="AE329" s="98"/>
      <c r="AF329" s="98"/>
      <c r="AH329" s="747" t="s">
        <v>492</v>
      </c>
      <c r="AI329" s="748" t="s">
        <v>241</v>
      </c>
      <c r="AJ329" s="748"/>
      <c r="AK329" s="749" t="s">
        <v>242</v>
      </c>
      <c r="AL329" s="749"/>
      <c r="AM329" s="749"/>
      <c r="AN329" s="749"/>
      <c r="AO329" s="746" t="s">
        <v>243</v>
      </c>
      <c r="AP329" s="746"/>
      <c r="AQ329" s="746"/>
      <c r="AR329" s="746"/>
    </row>
    <row r="330" spans="1:45" ht="24.95" customHeight="1">
      <c r="A330" s="712"/>
      <c r="B330" s="95">
        <v>8</v>
      </c>
      <c r="C330" s="96" t="s">
        <v>7398</v>
      </c>
      <c r="D330" s="96"/>
      <c r="E330" s="96"/>
      <c r="F330" s="96"/>
      <c r="G330" s="96"/>
      <c r="H330" s="96"/>
      <c r="I330" s="96"/>
      <c r="J330" s="96"/>
      <c r="K330" s="96"/>
      <c r="L330" s="96"/>
      <c r="M330" s="74"/>
      <c r="N330" s="3"/>
      <c r="O330" s="39" t="s">
        <v>179</v>
      </c>
      <c r="P330" s="3"/>
      <c r="Q330" s="356" t="s">
        <v>602</v>
      </c>
      <c r="R330" s="3"/>
      <c r="S330" s="3"/>
      <c r="T330" s="3"/>
      <c r="U330" s="3"/>
      <c r="V330" s="98" t="str">
        <f t="shared" si="197"/>
        <v>Ajouter le zeste de citron.</v>
      </c>
      <c r="W330" s="98"/>
      <c r="X330" s="98"/>
      <c r="Y330" s="98"/>
      <c r="Z330" s="98"/>
      <c r="AA330" s="98"/>
      <c r="AB330" s="98"/>
      <c r="AC330" s="98"/>
      <c r="AD330" s="98"/>
      <c r="AE330" s="98"/>
      <c r="AF330" s="98"/>
      <c r="AH330" s="747"/>
      <c r="AI330" s="748"/>
      <c r="AJ330" s="748"/>
      <c r="AK330" s="749"/>
      <c r="AL330" s="749"/>
      <c r="AM330" s="749"/>
      <c r="AN330" s="749"/>
      <c r="AO330" s="746"/>
      <c r="AP330" s="746"/>
      <c r="AQ330" s="746"/>
      <c r="AR330" s="746"/>
    </row>
    <row r="331" spans="1:45" ht="24.95" customHeight="1">
      <c r="A331" s="712"/>
      <c r="B331" s="101"/>
      <c r="C331" s="89"/>
      <c r="D331" s="89"/>
      <c r="E331" s="89"/>
      <c r="F331" s="89"/>
      <c r="G331" s="89"/>
      <c r="H331" s="89"/>
      <c r="I331" s="89"/>
      <c r="J331" s="89"/>
      <c r="K331" s="89"/>
      <c r="L331" s="89"/>
      <c r="M331" s="90"/>
      <c r="N331" s="3"/>
      <c r="O331" s="39" t="s">
        <v>349</v>
      </c>
      <c r="P331" s="3"/>
      <c r="Q331" s="183"/>
      <c r="R331" s="3"/>
      <c r="S331" s="3"/>
      <c r="T331" s="3"/>
      <c r="U331" s="3"/>
      <c r="V331" s="98" t="str">
        <f t="shared" si="197"/>
        <v>Contrôler la mousse, l’équilibre et servir.</v>
      </c>
      <c r="W331" s="98"/>
      <c r="X331" s="98"/>
      <c r="Y331" s="98"/>
      <c r="Z331" s="98"/>
      <c r="AA331" s="98"/>
      <c r="AB331" s="98"/>
      <c r="AC331" s="98"/>
      <c r="AD331" s="98"/>
      <c r="AE331" s="98"/>
      <c r="AF331" s="98"/>
      <c r="AH331" s="750" t="s">
        <v>6993</v>
      </c>
      <c r="AI331" s="748" t="s">
        <v>252</v>
      </c>
      <c r="AJ331" s="748"/>
      <c r="AK331" s="749" t="s">
        <v>253</v>
      </c>
      <c r="AL331" s="749"/>
      <c r="AM331" s="749"/>
      <c r="AN331" s="749"/>
      <c r="AO331" s="746" t="s">
        <v>254</v>
      </c>
      <c r="AP331" s="746"/>
      <c r="AQ331" s="746"/>
      <c r="AR331" s="746"/>
    </row>
    <row r="332" spans="1:45" ht="24.95" customHeight="1">
      <c r="A332" s="712"/>
      <c r="B332" s="10" t="s">
        <v>258</v>
      </c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92"/>
      <c r="N332" s="3"/>
      <c r="O332" s="39" t="s">
        <v>342</v>
      </c>
      <c r="P332" s="3"/>
      <c r="Q332" s="356" t="s">
        <v>609</v>
      </c>
      <c r="R332" s="3"/>
      <c r="S332" s="3"/>
      <c r="T332" s="3"/>
      <c r="U332" s="3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H332" s="750"/>
      <c r="AI332" s="748"/>
      <c r="AJ332" s="748"/>
      <c r="AK332" s="749"/>
      <c r="AL332" s="749"/>
      <c r="AM332" s="749"/>
      <c r="AN332" s="749"/>
      <c r="AO332" s="746"/>
      <c r="AP332" s="746"/>
      <c r="AQ332" s="746"/>
      <c r="AR332" s="746"/>
    </row>
    <row r="333" spans="1:45" ht="24.95" customHeight="1">
      <c r="A333" s="712"/>
      <c r="B333" s="102" t="s">
        <v>259</v>
      </c>
      <c r="C333" s="73" t="s">
        <v>83</v>
      </c>
      <c r="D333" s="73"/>
      <c r="E333" s="73"/>
      <c r="F333" s="73"/>
      <c r="G333" s="73"/>
      <c r="H333" s="73"/>
      <c r="I333" s="73"/>
      <c r="J333" s="73"/>
      <c r="K333" s="73"/>
      <c r="L333" s="73"/>
      <c r="M333" s="74"/>
      <c r="N333" s="3"/>
      <c r="O333" s="39" t="s">
        <v>265</v>
      </c>
      <c r="P333" s="3"/>
      <c r="R333" s="3"/>
      <c r="S333" s="3"/>
      <c r="T333" s="3"/>
      <c r="U333" s="3"/>
      <c r="V333" s="103" t="s">
        <v>260</v>
      </c>
      <c r="W333" s="103" t="s">
        <v>209</v>
      </c>
      <c r="X333" s="103"/>
      <c r="Y333" s="103"/>
      <c r="Z333" s="103"/>
      <c r="AA333" s="103"/>
      <c r="AB333" s="103"/>
      <c r="AC333" s="103"/>
      <c r="AD333" s="103"/>
      <c r="AE333" s="103"/>
      <c r="AF333" s="103"/>
      <c r="AH333" s="171" t="s">
        <v>261</v>
      </c>
      <c r="AI333" s="172"/>
      <c r="AJ333" s="165"/>
      <c r="AK333" s="165"/>
      <c r="AL333" s="165"/>
      <c r="AM333" s="165"/>
      <c r="AN333" s="165"/>
      <c r="AO333" s="165"/>
      <c r="AP333" s="165"/>
      <c r="AQ333" s="165"/>
      <c r="AR333" s="165"/>
    </row>
    <row r="334" spans="1:45" ht="24.95" customHeight="1">
      <c r="A334" s="712"/>
      <c r="B334" s="102" t="s">
        <v>262</v>
      </c>
      <c r="C334" s="73" t="s">
        <v>7399</v>
      </c>
      <c r="D334" s="73"/>
      <c r="E334" s="73"/>
      <c r="F334" s="73"/>
      <c r="G334" s="73"/>
      <c r="H334" s="73"/>
      <c r="I334" s="73"/>
      <c r="J334" s="73"/>
      <c r="K334" s="73"/>
      <c r="L334" s="73"/>
      <c r="M334" s="74"/>
      <c r="N334" s="3"/>
      <c r="O334" s="39" t="s">
        <v>183</v>
      </c>
      <c r="P334" s="3"/>
      <c r="Q334" s="3"/>
      <c r="R334" s="3"/>
      <c r="S334" s="3"/>
      <c r="T334" s="3"/>
      <c r="U334" s="3"/>
      <c r="V334" s="98" t="str">
        <f>IF(C333="","",C333)</f>
        <v>Tumbler (Old Fashioned)</v>
      </c>
      <c r="W334" s="98"/>
      <c r="X334" s="98"/>
      <c r="Y334" s="98"/>
      <c r="Z334" s="98"/>
      <c r="AA334" s="98"/>
      <c r="AB334" s="98"/>
      <c r="AC334" s="98"/>
      <c r="AD334" s="98"/>
      <c r="AE334" s="98"/>
      <c r="AF334" s="98"/>
      <c r="AH334" s="172" t="s">
        <v>264</v>
      </c>
      <c r="AI334" s="172"/>
      <c r="AJ334" s="165"/>
      <c r="AK334" s="172"/>
      <c r="AL334" s="165"/>
      <c r="AM334" s="165"/>
      <c r="AN334" s="165"/>
      <c r="AO334" s="172"/>
      <c r="AP334" s="165"/>
      <c r="AQ334" s="165"/>
      <c r="AR334" s="165"/>
    </row>
    <row r="335" spans="1:45" ht="24.95" customHeight="1">
      <c r="A335" s="712"/>
      <c r="B335" s="104" t="s">
        <v>267</v>
      </c>
      <c r="C335" s="105" t="s">
        <v>7277</v>
      </c>
      <c r="D335" s="73"/>
      <c r="E335" s="73"/>
      <c r="F335" s="73"/>
      <c r="G335" s="73"/>
      <c r="H335" s="73"/>
      <c r="I335" s="73"/>
      <c r="J335" s="73"/>
      <c r="K335" s="73"/>
      <c r="L335" s="73"/>
      <c r="M335" s="74"/>
      <c r="N335" s="3"/>
      <c r="O335" s="39" t="s">
        <v>187</v>
      </c>
      <c r="P335" s="3"/>
      <c r="Q335" s="3"/>
      <c r="R335" s="3"/>
      <c r="S335" s="3"/>
      <c r="T335" s="3"/>
      <c r="U335" s="3"/>
      <c r="V335" s="98" t="str">
        <f>IF(C334="","",C334)</f>
        <v>Doseur / jigger ; shaker ; passoire ; pince à glaçons</v>
      </c>
      <c r="W335" s="98"/>
      <c r="X335" s="98"/>
      <c r="Y335" s="98"/>
      <c r="Z335" s="98"/>
      <c r="AA335" s="98"/>
      <c r="AB335" s="98"/>
      <c r="AC335" s="98"/>
      <c r="AD335" s="98"/>
      <c r="AE335" s="98"/>
      <c r="AF335" s="98"/>
      <c r="AH335" s="172" t="s">
        <v>269</v>
      </c>
      <c r="AI335" s="172"/>
      <c r="AJ335" s="173"/>
      <c r="AK335" s="173"/>
      <c r="AL335" s="165"/>
      <c r="AM335" s="165"/>
      <c r="AN335" s="165"/>
      <c r="AO335" s="165"/>
      <c r="AP335" s="165"/>
      <c r="AQ335" s="165"/>
      <c r="AR335" s="165"/>
    </row>
    <row r="336" spans="1:45" ht="24.95" customHeight="1">
      <c r="A336" s="712"/>
      <c r="N336" s="3"/>
      <c r="O336" s="39" t="s">
        <v>345</v>
      </c>
      <c r="P336" s="3"/>
      <c r="Q336" s="3"/>
      <c r="R336" s="3"/>
      <c r="S336" s="3"/>
      <c r="T336" s="3"/>
      <c r="U336" s="3"/>
      <c r="V336" s="98" t="str">
        <f>IF(C335="","",C335)</f>
        <v>https://iba-world.com/</v>
      </c>
      <c r="W336" s="98"/>
      <c r="X336" s="98"/>
      <c r="Y336" s="98"/>
      <c r="Z336" s="98"/>
      <c r="AA336" s="98"/>
      <c r="AB336" s="98"/>
      <c r="AC336" s="98"/>
      <c r="AD336" s="98"/>
      <c r="AE336" s="98"/>
      <c r="AF336" s="98"/>
      <c r="AH336" s="168" t="s">
        <v>274</v>
      </c>
      <c r="AI336" s="165"/>
      <c r="AJ336" s="173"/>
      <c r="AK336" s="173"/>
      <c r="AL336" s="165"/>
      <c r="AM336" s="165"/>
      <c r="AN336" s="165"/>
      <c r="AO336" s="165"/>
      <c r="AP336" s="165"/>
      <c r="AQ336" s="165"/>
      <c r="AR336" s="165"/>
    </row>
    <row r="337" spans="1:45" ht="24.95" customHeight="1">
      <c r="A337" s="713"/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7" t="s">
        <v>272</v>
      </c>
      <c r="N337" s="3"/>
      <c r="O337" s="39" t="s">
        <v>347</v>
      </c>
      <c r="P337" s="3"/>
      <c r="Q337" s="3"/>
      <c r="R337" s="3"/>
      <c r="S337" s="3"/>
      <c r="T337" s="3"/>
      <c r="U337" s="3"/>
      <c r="V337" s="108" t="s">
        <v>277</v>
      </c>
      <c r="W337" s="108"/>
      <c r="X337" s="108"/>
      <c r="Y337" s="108"/>
      <c r="Z337" s="108"/>
      <c r="AA337" s="108"/>
      <c r="AB337" s="108"/>
      <c r="AC337" s="108"/>
      <c r="AD337" s="108"/>
      <c r="AE337" s="108"/>
      <c r="AF337" s="109" t="s">
        <v>277</v>
      </c>
      <c r="AH337" s="168" t="s">
        <v>278</v>
      </c>
      <c r="AI337" s="172"/>
      <c r="AJ337" s="173"/>
      <c r="AK337" s="173"/>
      <c r="AL337" s="165"/>
      <c r="AM337" s="165"/>
      <c r="AN337" s="165"/>
      <c r="AO337" s="165"/>
      <c r="AP337" s="165"/>
      <c r="AQ337" s="165"/>
      <c r="AR337" s="165"/>
    </row>
    <row r="338" spans="1:45" ht="24.95" customHeight="1">
      <c r="A338" s="715"/>
      <c r="B338" s="716"/>
      <c r="C338" s="716"/>
      <c r="D338" s="716"/>
      <c r="E338" s="716"/>
      <c r="F338" s="716"/>
      <c r="G338" s="716"/>
      <c r="H338" s="716"/>
      <c r="I338" s="716"/>
      <c r="J338" s="716"/>
      <c r="K338" s="716"/>
      <c r="L338" s="716"/>
      <c r="M338" s="716"/>
      <c r="N338" s="717"/>
      <c r="O338" s="39" t="s">
        <v>191</v>
      </c>
      <c r="P338" s="717"/>
      <c r="Q338" s="3"/>
      <c r="R338" s="3"/>
      <c r="S338" s="3"/>
      <c r="T338" s="3"/>
      <c r="U338" s="719"/>
      <c r="V338" s="761"/>
      <c r="W338" s="761"/>
      <c r="X338" s="761"/>
      <c r="Y338" s="720"/>
      <c r="Z338" s="721"/>
      <c r="AA338" s="721"/>
      <c r="AB338" s="721"/>
      <c r="AC338" s="721"/>
      <c r="AD338" s="721"/>
      <c r="AE338" s="721"/>
      <c r="AF338" s="721"/>
      <c r="AG338" s="719"/>
      <c r="AH338" s="718"/>
      <c r="AI338" s="718"/>
      <c r="AJ338" s="718"/>
      <c r="AK338" s="718"/>
      <c r="AL338" s="718"/>
      <c r="AM338" s="722"/>
      <c r="AN338" s="722"/>
      <c r="AO338" s="722"/>
      <c r="AP338" s="722"/>
      <c r="AQ338" s="722"/>
      <c r="AR338" s="722"/>
      <c r="AS338" s="722"/>
    </row>
    <row r="339" spans="1:45" ht="24.95" customHeight="1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9" t="s">
        <v>194</v>
      </c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</row>
    <row r="340" spans="1:45" ht="24.95" customHeight="1">
      <c r="A340" s="149" t="s">
        <v>59</v>
      </c>
      <c r="B340" s="711" t="s">
        <v>60</v>
      </c>
      <c r="C340" s="711"/>
      <c r="D340" s="711"/>
      <c r="E340" s="711"/>
      <c r="F340" s="711"/>
      <c r="G340" s="711"/>
      <c r="H340" s="711"/>
      <c r="I340" s="711"/>
      <c r="J340" s="711"/>
      <c r="K340" s="711"/>
      <c r="L340" s="711"/>
      <c r="M340" s="711"/>
      <c r="N340" s="3"/>
      <c r="O340" s="39" t="s">
        <v>350</v>
      </c>
      <c r="P340" s="3"/>
      <c r="Q340" s="10" t="s">
        <v>61</v>
      </c>
      <c r="R340" s="10"/>
      <c r="S340" s="10"/>
      <c r="T340" s="10"/>
      <c r="V340" s="861" t="s">
        <v>62</v>
      </c>
      <c r="W340" s="861"/>
      <c r="X340" s="861"/>
      <c r="Y340" s="23" t="s">
        <v>63</v>
      </c>
      <c r="Z340" s="24"/>
      <c r="AA340" s="24"/>
      <c r="AB340" s="24"/>
      <c r="AC340" s="24"/>
      <c r="AD340" s="24"/>
      <c r="AE340" s="24"/>
      <c r="AF340" s="24"/>
      <c r="AH340" s="25" t="s">
        <v>64</v>
      </c>
      <c r="AI340" s="25"/>
      <c r="AJ340" s="25" t="s">
        <v>65</v>
      </c>
      <c r="AK340" s="25"/>
      <c r="AL340" s="25"/>
      <c r="AM340" s="26"/>
      <c r="AN340" s="26"/>
      <c r="AO340" s="26"/>
      <c r="AP340" s="26"/>
      <c r="AQ340" s="26"/>
      <c r="AR340" s="26"/>
      <c r="AS340" s="26"/>
    </row>
    <row r="341" spans="1:45" ht="24.95" customHeight="1">
      <c r="A341" s="712"/>
      <c r="B341" s="27" t="s">
        <v>67</v>
      </c>
      <c r="C341" s="28" t="s">
        <v>7400</v>
      </c>
      <c r="D341" s="28"/>
      <c r="E341" s="27" t="s">
        <v>69</v>
      </c>
      <c r="F341" s="29" t="s">
        <v>584</v>
      </c>
      <c r="G341" s="30"/>
      <c r="H341" s="27" t="s">
        <v>71</v>
      </c>
      <c r="I341" s="729" t="s">
        <v>7272</v>
      </c>
      <c r="J341" s="30"/>
      <c r="K341" s="27" t="s">
        <v>73</v>
      </c>
      <c r="L341" s="32" t="s">
        <v>74</v>
      </c>
      <c r="M341" s="33"/>
      <c r="N341" s="3"/>
      <c r="O341" s="39" t="s">
        <v>363</v>
      </c>
      <c r="P341" s="3"/>
      <c r="Q341" s="14" t="s">
        <v>27</v>
      </c>
      <c r="R341" s="35">
        <v>28</v>
      </c>
      <c r="S341" s="15" t="s">
        <v>76</v>
      </c>
      <c r="T341" s="15"/>
      <c r="V341" s="831" t="s">
        <v>77</v>
      </c>
      <c r="W341" s="862" t="str">
        <f>C341</f>
        <v>VIRGIN MOJITO</v>
      </c>
      <c r="X341" s="862"/>
      <c r="Y341" s="862"/>
      <c r="Z341" s="36" t="s">
        <v>78</v>
      </c>
      <c r="AA341" s="24" t="str">
        <f>F341</f>
        <v>SANS ALCOOL</v>
      </c>
      <c r="AB341" s="24"/>
      <c r="AC341" s="831" t="s">
        <v>71</v>
      </c>
      <c r="AD341" s="37" t="str">
        <f>I341</f>
        <v>ALL DAY</v>
      </c>
      <c r="AE341" s="831" t="s">
        <v>73</v>
      </c>
      <c r="AF341" s="24" t="str">
        <f>L341</f>
        <v>ON THE ROCKS</v>
      </c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</row>
    <row r="342" spans="1:45" ht="24.95" customHeight="1">
      <c r="A342" s="712"/>
      <c r="B342" s="27" t="s">
        <v>80</v>
      </c>
      <c r="C342" s="38" t="s">
        <v>7401</v>
      </c>
      <c r="D342" s="30"/>
      <c r="E342" s="27" t="s">
        <v>82</v>
      </c>
      <c r="F342" s="39" t="s">
        <v>103</v>
      </c>
      <c r="G342" s="30"/>
      <c r="H342" s="27" t="s">
        <v>84</v>
      </c>
      <c r="I342" s="40">
        <v>1</v>
      </c>
      <c r="J342" s="41" t="s">
        <v>103</v>
      </c>
      <c r="K342" s="41"/>
      <c r="L342" s="42" t="s">
        <v>76</v>
      </c>
      <c r="M342" s="33"/>
      <c r="N342" s="3"/>
      <c r="O342" s="39" t="s">
        <v>366</v>
      </c>
      <c r="Q342" s="14" t="s">
        <v>31</v>
      </c>
      <c r="R342" s="35"/>
      <c r="S342" s="15" t="s">
        <v>86</v>
      </c>
      <c r="T342" s="15"/>
      <c r="V342" s="44" t="s">
        <v>87</v>
      </c>
      <c r="W342" s="150">
        <f>R346</f>
        <v>0</v>
      </c>
      <c r="X342" s="43" t="s">
        <v>88</v>
      </c>
      <c r="Y342" s="43"/>
      <c r="Z342" s="44" t="s">
        <v>89</v>
      </c>
      <c r="AA342" s="45">
        <f>R348</f>
        <v>0.39999999999999997</v>
      </c>
      <c r="AB342" s="46" t="s">
        <v>90</v>
      </c>
      <c r="AC342" s="44" t="s">
        <v>91</v>
      </c>
      <c r="AD342" s="45">
        <f>R343</f>
        <v>28</v>
      </c>
      <c r="AE342" s="47" t="s">
        <v>92</v>
      </c>
      <c r="AF342" s="43" t="str">
        <f>R350</f>
        <v>NOMBRE DE COCKTAILS</v>
      </c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</row>
    <row r="343" spans="1:45" ht="24.95" customHeight="1">
      <c r="A343" s="712"/>
      <c r="B343" s="27" t="s">
        <v>94</v>
      </c>
      <c r="C343" s="151" t="s">
        <v>7274</v>
      </c>
      <c r="D343" s="30"/>
      <c r="E343" s="30"/>
      <c r="F343" s="30"/>
      <c r="G343" s="30"/>
      <c r="H343" s="27" t="s">
        <v>96</v>
      </c>
      <c r="I343" s="48">
        <v>15</v>
      </c>
      <c r="J343" s="730" t="s">
        <v>32</v>
      </c>
      <c r="K343" s="30"/>
      <c r="L343" s="30"/>
      <c r="M343" s="33"/>
      <c r="N343" s="3"/>
      <c r="O343" s="39" t="s">
        <v>369</v>
      </c>
      <c r="Q343" s="14" t="s">
        <v>98</v>
      </c>
      <c r="R343" s="49">
        <f>IF(AND(ISNUMBER(R342),R342&gt;0),IFERROR(R342*1000/R344,0),IF(AND(ISNUMBER(R341),R341&gt;0,ISNUMBER(I342),I342&gt;0),R341/I342,1))</f>
        <v>28</v>
      </c>
      <c r="S343" s="50" t="s">
        <v>99</v>
      </c>
      <c r="T343" s="50"/>
      <c r="V343" s="44" t="s">
        <v>100</v>
      </c>
      <c r="W343" s="51">
        <f>IF(R344="","",R344/10)</f>
        <v>15</v>
      </c>
      <c r="X343" s="46" t="s">
        <v>32</v>
      </c>
      <c r="Y343" s="43"/>
      <c r="Z343" s="44" t="s">
        <v>101</v>
      </c>
      <c r="AA343" s="45">
        <f>R345</f>
        <v>15</v>
      </c>
      <c r="AB343" s="46" t="s">
        <v>32</v>
      </c>
      <c r="AC343" s="44" t="s">
        <v>102</v>
      </c>
      <c r="AD343" s="45">
        <f>R349</f>
        <v>28</v>
      </c>
      <c r="AE343" s="51"/>
      <c r="AF343" s="4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</row>
    <row r="344" spans="1:45" ht="24.95" customHeight="1">
      <c r="A344" s="712"/>
      <c r="B344" s="27"/>
      <c r="C344" s="52" t="str">
        <f>UPPER(LEFT(C341,1)) &amp; " . " &amp; UPPER(LEFT(C341,1)) &amp; LOWER(MID(C341,2,999)) &amp; " . " &amp; UPPER(LEFT(F341,1)) &amp; LOWER(MID(F341,2,999)) &amp; " . " &amp; UPPER(LEFT(I341,1)) &amp; LOWER(MID(I341,2,999)) &amp; " . " &amp; "Verre " &amp; UPPER(LEFT(F342,1)) &amp; LOWER(MID(F342,2,999)) &amp; IF(LEFT(L341,1)=UPPER(LEFT(L341,1)),".","") &amp; UPPER(LEFT(L341,1)) &amp; LOWER(MID(L341,2,999))&amp;"  couleur"&amp;" "&amp;C342&amp;"  intensité"&amp;" "&amp;C343</f>
        <v>V . Virgin mojito . Sans alcool . All day . Verre Highball.On the rocks  couleur vert pâle translucide  intensité ** frais acidulé</v>
      </c>
      <c r="D344" s="52"/>
      <c r="E344" s="52"/>
      <c r="F344" s="52"/>
      <c r="G344" s="52"/>
      <c r="H344" s="52"/>
      <c r="I344" s="52"/>
      <c r="J344" s="52"/>
      <c r="K344" s="52"/>
      <c r="L344" s="30"/>
      <c r="M344" s="33"/>
      <c r="N344" s="3"/>
      <c r="O344" s="39" t="s">
        <v>362</v>
      </c>
      <c r="Q344" s="14" t="s">
        <v>105</v>
      </c>
      <c r="R344" s="49">
        <f>SUMIF(AJ351:AJ357,"VOLUME",AL351:AL357)</f>
        <v>150</v>
      </c>
      <c r="S344" s="50" t="s">
        <v>22</v>
      </c>
      <c r="T344" s="50"/>
      <c r="V344" s="44" t="s">
        <v>96</v>
      </c>
      <c r="W344" s="51">
        <f>I343</f>
        <v>15</v>
      </c>
      <c r="X344" s="46" t="str">
        <f>J343</f>
        <v>cl</v>
      </c>
      <c r="Y344" s="43"/>
      <c r="Z344" s="44" t="s">
        <v>82</v>
      </c>
      <c r="AA344" s="54" t="str">
        <f>F342</f>
        <v>Highball</v>
      </c>
      <c r="AB344" s="43"/>
      <c r="AC344" s="44" t="s">
        <v>106</v>
      </c>
      <c r="AD344" s="45">
        <f>R351</f>
        <v>24</v>
      </c>
      <c r="AE344" s="46" t="s">
        <v>32</v>
      </c>
      <c r="AF344" s="4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</row>
    <row r="345" spans="1:45" ht="24.95" customHeight="1">
      <c r="A345" s="712"/>
      <c r="B345" s="27" t="s">
        <v>110</v>
      </c>
      <c r="C345" s="55" t="s">
        <v>7402</v>
      </c>
      <c r="D345" s="55"/>
      <c r="E345" s="154"/>
      <c r="F345" s="154"/>
      <c r="G345" s="154"/>
      <c r="H345" s="154"/>
      <c r="I345" s="154"/>
      <c r="J345" s="154"/>
      <c r="K345" s="154"/>
      <c r="L345" s="30"/>
      <c r="M345" s="33"/>
      <c r="N345" s="3"/>
      <c r="O345" s="39" t="s">
        <v>364</v>
      </c>
      <c r="Q345" s="14" t="s">
        <v>113</v>
      </c>
      <c r="R345" s="49">
        <f>IF(OR(R344=0,NOT(ISNUMBER(I342)),I342&lt;=0),"",R344/I342/10)</f>
        <v>15</v>
      </c>
      <c r="S345" s="50" t="s">
        <v>32</v>
      </c>
      <c r="T345" s="50"/>
      <c r="V345" s="44" t="s">
        <v>114</v>
      </c>
      <c r="W345" s="51" t="str">
        <f>IF(I343="","",IF(R351="","⚠ À CONTRÔLER",IF(I343&lt;=R351,"✔ OK","❌ DÉPASSE CAPACITÉ")))</f>
        <v>✔ OK</v>
      </c>
      <c r="X345" s="43"/>
      <c r="Y345" s="43"/>
      <c r="Z345" s="44"/>
      <c r="AA345" s="56"/>
      <c r="AB345" s="43"/>
      <c r="AC345" s="43"/>
      <c r="AD345" s="46"/>
      <c r="AE345" s="46"/>
      <c r="AF345" s="4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</row>
    <row r="346" spans="1:45" ht="24.95" customHeight="1">
      <c r="A346" s="712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3"/>
      <c r="N346" s="3"/>
      <c r="O346" s="39" t="s">
        <v>367</v>
      </c>
      <c r="Q346" s="14" t="s">
        <v>118</v>
      </c>
      <c r="R346" s="155">
        <f>IF(AN358=0,"",SUM(AQ351:AQ357)/AN358*100)</f>
        <v>0</v>
      </c>
      <c r="S346" s="50" t="s">
        <v>88</v>
      </c>
      <c r="T346" s="50"/>
      <c r="V346" s="44" t="s">
        <v>110</v>
      </c>
      <c r="W346" s="46" t="str">
        <f>C345</f>
        <v>Cocktail sans alcool à base de citron vert, menthe, sucre et eau gazeuse</v>
      </c>
      <c r="X346" s="43"/>
      <c r="Y346" s="43"/>
      <c r="Z346" s="44"/>
      <c r="AA346" s="56"/>
      <c r="AB346" s="43"/>
      <c r="AC346" s="43"/>
      <c r="AD346" s="46"/>
      <c r="AE346" s="46"/>
      <c r="AF346" s="4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</row>
    <row r="347" spans="1:45" ht="24.95" customHeight="1">
      <c r="A347" s="712"/>
      <c r="B347" s="57" t="s">
        <v>121</v>
      </c>
      <c r="C347" s="58" t="s">
        <v>7403</v>
      </c>
      <c r="D347" s="58"/>
      <c r="E347" s="59"/>
      <c r="F347" s="57" t="s">
        <v>123</v>
      </c>
      <c r="G347" s="58"/>
      <c r="H347" s="60"/>
      <c r="I347" s="60"/>
      <c r="J347" s="61"/>
      <c r="K347" s="61"/>
      <c r="L347" s="61"/>
      <c r="M347" s="62"/>
      <c r="N347" s="3"/>
      <c r="O347" s="39" t="s">
        <v>352</v>
      </c>
      <c r="Q347" s="14" t="s">
        <v>126</v>
      </c>
      <c r="R347" s="156">
        <f>SUM(AR351:AR357)</f>
        <v>11.2</v>
      </c>
      <c r="S347" s="50" t="s">
        <v>90</v>
      </c>
      <c r="T347" s="50"/>
      <c r="V347" s="44" t="s">
        <v>121</v>
      </c>
      <c r="W347" s="46" t="str">
        <f>C347</f>
        <v>Adaptation pédagogique CFA — sans alcool</v>
      </c>
      <c r="X347" s="43"/>
      <c r="Y347" s="43"/>
      <c r="Z347" s="44" t="s">
        <v>94</v>
      </c>
      <c r="AA347" s="54" t="str">
        <f>C343</f>
        <v>** frais acidulé</v>
      </c>
      <c r="AB347" s="43"/>
      <c r="AC347" s="759" t="str">
        <f>UPPER(LEFT(C341,1))&amp;" . "&amp;UPPER(LEFT(C341,1))&amp;LOWER(MID(C341,2,999))&amp;" . "&amp;UPPER(LEFT(F341,1))&amp;LOWER(MID(F341,2,999))&amp;" . "&amp;UPPER(LEFT(I341,1))&amp;LOWER(MID(I341,2,999))&amp;" . "&amp;"Verre "&amp;UPPER(LEFT(F342,1))&amp;LOWER(MID(F342,2,999))&amp;IF(LEFT(L341,1)=UPPER(LEFT(L341,1)),".","")&amp;UPPER(LEFT(L341,1))&amp;LOWER(MID(L341,2,999))&amp;"  couleur "&amp;C342&amp;"  intensité "&amp;C343</f>
        <v>V . Virgin mojito . Sans alcool . All day . Verre Highball.On the rocks  couleur vert pâle translucide  intensité ** frais acidulé</v>
      </c>
      <c r="AD347" s="759"/>
      <c r="AE347" s="759"/>
      <c r="AF347" s="759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</row>
    <row r="348" spans="1:45" ht="24.95" customHeight="1">
      <c r="A348" s="712"/>
      <c r="B348" s="10" t="s">
        <v>131</v>
      </c>
      <c r="C348" s="10" t="s">
        <v>132</v>
      </c>
      <c r="D348" s="10"/>
      <c r="E348" s="10"/>
      <c r="F348" s="10"/>
      <c r="G348" s="10"/>
      <c r="H348" s="10"/>
      <c r="I348" s="10"/>
      <c r="J348" s="11" t="str">
        <f>IF(COUNTIF(C350:C356,"*~**")+COUNTIF(C350:C356,"*~?*")=0,"",IF(COUNTIF(C350:C356,"*~**")&gt;0,COUNTIF(C350:C356,"*~**")&amp;" allergène"&amp;IF(COUNTIF(C350:C356,"*~**")&gt;1,"s","")&amp;" repéré"&amp;IF(COUNTIF(C350:C356,"*~**")&gt;1,"s","")&amp;" par *","")&amp;IF(AND(COUNTIF(C350:C356,"*~**")&gt;0,COUNTIF(C350:C356,"*~?*")&gt;0)," | ","")&amp;IF(COUNTIF(C350:C356,"*~?*")&gt;0,COUNTIF(C350:C356,"*~?*")&amp;" produit"&amp;IF(COUNTIF(C350:C356,"*~?*")&gt;1,"s","")&amp;" à vérifier par ?",""))</f>
        <v/>
      </c>
      <c r="K348" s="10"/>
      <c r="L348" s="10"/>
      <c r="M348" s="63"/>
      <c r="N348" s="3"/>
      <c r="O348" s="39" t="s">
        <v>378</v>
      </c>
      <c r="Q348" s="14" t="s">
        <v>134</v>
      </c>
      <c r="R348" s="156">
        <f>IF(OR(R347="",R349="",R349=0),"",R347/R349)</f>
        <v>0.39999999999999997</v>
      </c>
      <c r="S348" s="50" t="s">
        <v>135</v>
      </c>
      <c r="T348" s="50"/>
      <c r="V348" s="852" t="s">
        <v>136</v>
      </c>
      <c r="W348" s="853">
        <f>R347</f>
        <v>11.2</v>
      </c>
      <c r="X348" s="854" t="s">
        <v>90</v>
      </c>
      <c r="Y348" s="43"/>
      <c r="Z348" s="44" t="s">
        <v>137</v>
      </c>
      <c r="AA348" s="54" t="str">
        <f>C341</f>
        <v>VIRGIN MOJITO</v>
      </c>
      <c r="AB348" s="43"/>
      <c r="AC348" s="759"/>
      <c r="AD348" s="759"/>
      <c r="AE348" s="759"/>
      <c r="AF348" s="759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</row>
    <row r="349" spans="1:45" ht="24.95" customHeight="1">
      <c r="A349" s="712"/>
      <c r="B349" s="66">
        <v>0</v>
      </c>
      <c r="C349" s="64" t="s">
        <v>141</v>
      </c>
      <c r="D349" s="65" t="s">
        <v>142</v>
      </c>
      <c r="E349" s="64" t="s">
        <v>9</v>
      </c>
      <c r="F349" s="66" t="s">
        <v>143</v>
      </c>
      <c r="G349" s="66" t="s">
        <v>144</v>
      </c>
      <c r="H349" s="66" t="s">
        <v>145</v>
      </c>
      <c r="I349" s="67" t="s">
        <v>146</v>
      </c>
      <c r="J349" s="67" t="s">
        <v>847</v>
      </c>
      <c r="K349" s="67" t="s">
        <v>148</v>
      </c>
      <c r="L349" s="67" t="s">
        <v>149</v>
      </c>
      <c r="M349" s="68" t="s">
        <v>150</v>
      </c>
      <c r="N349" s="3"/>
      <c r="O349" s="39" t="s">
        <v>249</v>
      </c>
      <c r="Q349" s="14" t="s">
        <v>152</v>
      </c>
      <c r="R349" s="49">
        <f>IF(AND(ISNUMBER(R342),R342&gt;0,ISNUMBER(I343),I343&gt;0),R342*1000/(I343*10),IF(AND(ISNUMBER(R341),R341&gt;0),R341,""))</f>
        <v>28</v>
      </c>
      <c r="S349" s="50" t="s">
        <v>76</v>
      </c>
      <c r="T349" s="50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H349" s="25" t="s">
        <v>153</v>
      </c>
      <c r="AI349" s="25"/>
      <c r="AJ349" s="25" t="s">
        <v>490</v>
      </c>
      <c r="AK349" s="25"/>
      <c r="AL349" s="25"/>
      <c r="AM349" s="25"/>
      <c r="AN349" s="26"/>
      <c r="AO349" s="26"/>
      <c r="AP349" s="26"/>
      <c r="AQ349" s="26"/>
      <c r="AR349" s="26"/>
      <c r="AS349" s="26"/>
    </row>
    <row r="350" spans="1:45" ht="24.95" customHeight="1">
      <c r="A350" s="712"/>
      <c r="B350" s="731">
        <v>1</v>
      </c>
      <c r="C350" s="70" t="s">
        <v>7279</v>
      </c>
      <c r="D350" s="79">
        <v>3</v>
      </c>
      <c r="E350" s="18" t="s">
        <v>32</v>
      </c>
      <c r="F350" s="72">
        <v>0</v>
      </c>
      <c r="G350" s="732">
        <v>1.03</v>
      </c>
      <c r="H350" s="733" t="s">
        <v>156</v>
      </c>
      <c r="I350" s="161">
        <v>3</v>
      </c>
      <c r="J350" s="73"/>
      <c r="K350" s="73"/>
      <c r="L350" s="73"/>
      <c r="M350" s="74"/>
      <c r="N350" s="3"/>
      <c r="O350" s="39" t="s">
        <v>380</v>
      </c>
      <c r="Q350" s="14" t="s">
        <v>158</v>
      </c>
      <c r="R350" s="75" t="str">
        <f>IF(AND(ISNUMBER(R342),R342&gt;0),"VOLUME TOTAL",IF(AND(ISNUMBER(R341),R341&gt;0),"NOMBRE DE COCKTAILS","RÉFÉRENCE"))</f>
        <v>NOMBRE DE COCKTAILS</v>
      </c>
      <c r="S350" s="50"/>
      <c r="T350" s="50"/>
      <c r="V350" s="831" t="s">
        <v>159</v>
      </c>
      <c r="W350" s="36" t="s">
        <v>160</v>
      </c>
      <c r="X350" s="76" t="s">
        <v>161</v>
      </c>
      <c r="Y350" s="835" t="s">
        <v>162</v>
      </c>
      <c r="Z350" s="838" t="s">
        <v>163</v>
      </c>
      <c r="AA350" s="36" t="s">
        <v>164</v>
      </c>
      <c r="AB350" s="36" t="s">
        <v>9</v>
      </c>
      <c r="AC350" s="841" t="s">
        <v>165</v>
      </c>
      <c r="AD350" s="296" t="s">
        <v>166</v>
      </c>
      <c r="AE350" s="36" t="s">
        <v>146</v>
      </c>
      <c r="AF350" s="833" t="s">
        <v>167</v>
      </c>
      <c r="AH350" s="77" t="s">
        <v>168</v>
      </c>
      <c r="AI350" s="78" t="s">
        <v>159</v>
      </c>
      <c r="AJ350" s="77" t="s">
        <v>10</v>
      </c>
      <c r="AK350" s="77" t="s">
        <v>169</v>
      </c>
      <c r="AL350" s="77" t="s">
        <v>170</v>
      </c>
      <c r="AM350" s="77" t="s">
        <v>91</v>
      </c>
      <c r="AN350" s="78" t="s">
        <v>161</v>
      </c>
      <c r="AO350" s="77" t="s">
        <v>171</v>
      </c>
      <c r="AP350" s="77" t="s">
        <v>172</v>
      </c>
      <c r="AQ350" s="77" t="s">
        <v>165</v>
      </c>
      <c r="AR350" s="77" t="s">
        <v>167</v>
      </c>
      <c r="AS350" s="77" t="s">
        <v>173</v>
      </c>
    </row>
    <row r="351" spans="1:45" ht="24.95" customHeight="1">
      <c r="A351" s="712"/>
      <c r="B351" s="734">
        <v>2</v>
      </c>
      <c r="C351" s="70" t="s">
        <v>7281</v>
      </c>
      <c r="D351" s="79">
        <v>2</v>
      </c>
      <c r="E351" s="18" t="s">
        <v>32</v>
      </c>
      <c r="F351" s="72">
        <v>0</v>
      </c>
      <c r="G351" s="732">
        <v>1.3</v>
      </c>
      <c r="H351" s="733" t="s">
        <v>156</v>
      </c>
      <c r="I351" s="161">
        <v>4</v>
      </c>
      <c r="J351" s="73"/>
      <c r="K351" s="73"/>
      <c r="L351" s="73"/>
      <c r="M351" s="74"/>
      <c r="N351" s="3"/>
      <c r="O351" s="39" t="s">
        <v>382</v>
      </c>
      <c r="Q351" s="14" t="s">
        <v>35</v>
      </c>
      <c r="R351" s="35">
        <f>IFERROR(VLOOKUP(F342,$BB$5:$BC$40,2,FALSE),"")</f>
        <v>24</v>
      </c>
      <c r="S351" s="50" t="s">
        <v>32</v>
      </c>
      <c r="T351" s="50"/>
      <c r="V351" s="846" t="str">
        <f t="shared" ref="V351:V357" si="198">IF(AI351="","",AI351)</f>
        <v>Jus de citron vert</v>
      </c>
      <c r="W351" s="848" t="str">
        <f t="shared" ref="W351:W357" si="199">IF(C350="","",IF(H350="QS","QS",D350&amp;" "&amp;E350))</f>
        <v>3 cl</v>
      </c>
      <c r="X351" s="81">
        <f t="shared" ref="X351:X357" si="200">IF(AN351="","",AN351)</f>
        <v>840</v>
      </c>
      <c r="Y351" s="836" t="str">
        <f t="shared" ref="Y351:Y357" si="201">IF(C350="","",IF(H350="QS","Qt. suffisante",IF(AN351="","",IF(AJ351="VOLUME",IF(AN351&gt;=1000,TEXT(AO351,"0.00")&amp;" "&amp;AP351,IF(AN351&gt;=10,TEXT(AO351,"0.0")&amp;" "&amp;AP351&amp;" ► "&amp;TEXT(AN351/1000,"0.000")&amp;" L",TEXT(AO351,"0.0")&amp;" "&amp;AP351)),IF(AJ351="MASSE",TEXT(AO351,"0.00")&amp;" "&amp;AP351,AO351&amp;" "&amp;AP351)))))</f>
        <v>84.0 cl ► 0.840 L</v>
      </c>
      <c r="Z351" s="839" t="str">
        <f>IF(OR(C350="",AJ351&lt;&gt;"VOLUME",AN358=0),"","≈ "&amp;TEXT(ROUND(AN351/AN358*10*2,0)/2,"0.0")&amp;"/10")</f>
        <v>≈ 2.0/10</v>
      </c>
      <c r="AA351" s="82" t="str">
        <f t="shared" ref="AA351:AA357" si="202">IF(AJ351="AUTRE",AO351,"")</f>
        <v/>
      </c>
      <c r="AB351" s="83" t="str">
        <f t="shared" ref="AB351:AB357" si="203">IF(C350="","",AP351)</f>
        <v>cl</v>
      </c>
      <c r="AC351" s="842">
        <f t="shared" ref="AC351:AC357" si="204">IF(C350="","",AQ351)</f>
        <v>0</v>
      </c>
      <c r="AD351" s="163">
        <f t="shared" ref="AD351:AD357" si="205">IF(C350="","",IF(ISNUMBER(F350),F350,0))</f>
        <v>0</v>
      </c>
      <c r="AE351" s="164">
        <f t="shared" ref="AE351:AE357" si="206">IF(C350="","",IF(ISNUMBER(I350),I350,""))</f>
        <v>3</v>
      </c>
      <c r="AF351" s="855">
        <f t="shared" ref="AF351:AF357" si="207">IF(C350="","",AR351)</f>
        <v>2.52</v>
      </c>
      <c r="AH351" s="84">
        <f t="shared" ref="AH351:AH357" si="208">IF(C350="","",B350)</f>
        <v>1</v>
      </c>
      <c r="AI351" s="85" t="str">
        <f t="shared" ref="AI351:AI357" si="209">IF(C350="","",C350)</f>
        <v>Jus de citron vert</v>
      </c>
      <c r="AJ351" s="84" t="str">
        <f t="shared" ref="AJ351:AJ357" si="210">IF(C350="","",IFERROR(VLOOKUP(E350,$AU$5:$AY$121,2,FALSE),"UNITÉ ?"))</f>
        <v>VOLUME</v>
      </c>
      <c r="AK351" s="84">
        <f t="shared" ref="AK351:AK357" si="211">IF(C350="","",IFERROR(VLOOKUP(E350,$AU$5:$AY$121,3,FALSE),""))</f>
        <v>10</v>
      </c>
      <c r="AL351" s="84">
        <f t="shared" ref="AL351:AL357" si="212">IF(OR(C350="",H350="QS",NOT(ISNUMBER(D350))),"",D350*AK351)</f>
        <v>30</v>
      </c>
      <c r="AM351" s="84">
        <f>IF(C350="","",R343)</f>
        <v>28</v>
      </c>
      <c r="AN351" s="84">
        <f t="shared" ref="AN351:AN357" si="213">IF(C350="","",IF(H350="QS","",IF(AL351="","",IF(OR(H350="F",H350="FIXE"),AL351,AL351*AM351))))</f>
        <v>840</v>
      </c>
      <c r="AO351" s="84">
        <f t="shared" ref="AO351:AO357" si="214">IF(C350="","",IF(H350="QS","",IF(AN351="","",IF(AJ351="VOLUME",IF(AN351&gt;=1000,ROUND(AN351/1000,2),IF(AN351&gt;=10,ROUND(AN351/10,1),ROUND(AN351,1))),IF(AJ351="MASSE",IF(AN351&gt;=1000,ROUND(AN351/1000,2),ROUND(AN351,0)),ROUND(AN351,2))))))</f>
        <v>84</v>
      </c>
      <c r="AP351" s="84" t="str">
        <f t="shared" ref="AP351:AP357" si="215">IF(C350="","",IF(H350="QS","",IF(AN351="","",IF(AJ351="VOLUME",IF(AN351&gt;=1000,"L",IF(AN351&gt;=10,"cl","ml")),IF(AJ351="MASSE",IF(AN351&gt;=1000,"Kg","g"),IFERROR(VLOOKUP(E350,$AU$5:$AY$121,5,FALSE),E350))))))</f>
        <v>cl</v>
      </c>
      <c r="AQ351" s="84">
        <f t="shared" ref="AQ351:AQ357" si="216">IF(C350="","",IF(OR(AJ351&lt;&gt;"VOLUME",NOT(ISNUMBER(F350)),AN351=""),0,AN351*F350/100))</f>
        <v>0</v>
      </c>
      <c r="AR351" s="84">
        <f t="shared" ref="AR351:AR357" si="217">IF(C350="","",IF(H350="QS",0,IF(NOT(ISNUMBER(I350)),0,IF(OR(AJ351="VOLUME",AJ351="MASSE"),AN351/1000*I350,AN351*I350))))</f>
        <v>2.52</v>
      </c>
      <c r="AS351" s="84" t="str">
        <f t="shared" ref="AS351:AS357" si="218">IF(C350="","",IF(H350="QS","OK",IF(NOT(ISNUMBER(D350)),"QUANTITÉ ?",IF(E350="","UNITÉ ?",IF(AJ351="UNITÉ ?","UNITÉ ?",IF(AND(H350&lt;&gt;"",H350&lt;&gt;"PROP",H350&lt;&gt;"F",H350&lt;&gt;"FIXE",H350&lt;&gt;"QS"),"RÈGLE ?","OK"))))))</f>
        <v>OK</v>
      </c>
    </row>
    <row r="352" spans="1:45" ht="24.95" customHeight="1">
      <c r="A352" s="712"/>
      <c r="B352" s="731">
        <v>3</v>
      </c>
      <c r="C352" s="70" t="s">
        <v>180</v>
      </c>
      <c r="D352" s="79">
        <v>10</v>
      </c>
      <c r="E352" s="18" t="s">
        <v>32</v>
      </c>
      <c r="F352" s="72">
        <v>0</v>
      </c>
      <c r="G352" s="732">
        <v>1</v>
      </c>
      <c r="H352" s="733" t="s">
        <v>156</v>
      </c>
      <c r="I352" s="161">
        <v>0.5</v>
      </c>
      <c r="J352" s="73"/>
      <c r="K352" s="73"/>
      <c r="L352" s="73"/>
      <c r="M352" s="74"/>
      <c r="N352" s="3"/>
      <c r="O352" s="39" t="s">
        <v>353</v>
      </c>
      <c r="V352" s="846" t="str">
        <f t="shared" si="198"/>
        <v>Sirop de sucre de canne</v>
      </c>
      <c r="W352" s="848" t="str">
        <f t="shared" si="199"/>
        <v>2 cl</v>
      </c>
      <c r="X352" s="81">
        <f t="shared" si="200"/>
        <v>560</v>
      </c>
      <c r="Y352" s="836" t="str">
        <f t="shared" si="201"/>
        <v>56.0 cl ► 0.560 L</v>
      </c>
      <c r="Z352" s="839" t="str">
        <f>IF(OR(C351="",AJ352&lt;&gt;"VOLUME",AN358=0),"","≈ "&amp;TEXT(ROUND(AN352/AN358*10*2,0)/2,"0.0")&amp;"/10")</f>
        <v>≈ 1.5/10</v>
      </c>
      <c r="AA352" s="82" t="str">
        <f t="shared" si="202"/>
        <v/>
      </c>
      <c r="AB352" s="83" t="str">
        <f t="shared" si="203"/>
        <v>cl</v>
      </c>
      <c r="AC352" s="842">
        <f t="shared" si="204"/>
        <v>0</v>
      </c>
      <c r="AD352" s="163">
        <f t="shared" si="205"/>
        <v>0</v>
      </c>
      <c r="AE352" s="164">
        <f t="shared" si="206"/>
        <v>4</v>
      </c>
      <c r="AF352" s="855">
        <f t="shared" si="207"/>
        <v>2.2400000000000002</v>
      </c>
      <c r="AH352" s="84">
        <f t="shared" si="208"/>
        <v>2</v>
      </c>
      <c r="AI352" s="85" t="str">
        <f t="shared" si="209"/>
        <v>Sirop de sucre de canne</v>
      </c>
      <c r="AJ352" s="84" t="str">
        <f t="shared" si="210"/>
        <v>VOLUME</v>
      </c>
      <c r="AK352" s="84">
        <f t="shared" si="211"/>
        <v>10</v>
      </c>
      <c r="AL352" s="84">
        <f t="shared" si="212"/>
        <v>20</v>
      </c>
      <c r="AM352" s="84">
        <f>IF(C351="","",R343)</f>
        <v>28</v>
      </c>
      <c r="AN352" s="84">
        <f t="shared" si="213"/>
        <v>560</v>
      </c>
      <c r="AO352" s="84">
        <f t="shared" si="214"/>
        <v>56</v>
      </c>
      <c r="AP352" s="84" t="str">
        <f t="shared" si="215"/>
        <v>cl</v>
      </c>
      <c r="AQ352" s="84">
        <f t="shared" si="216"/>
        <v>0</v>
      </c>
      <c r="AR352" s="84">
        <f t="shared" si="217"/>
        <v>2.2400000000000002</v>
      </c>
      <c r="AS352" s="84" t="str">
        <f t="shared" si="218"/>
        <v>OK</v>
      </c>
    </row>
    <row r="353" spans="1:45" ht="24.95" customHeight="1">
      <c r="A353" s="712"/>
      <c r="B353" s="734">
        <v>4</v>
      </c>
      <c r="C353" s="70" t="s">
        <v>7282</v>
      </c>
      <c r="D353" s="79">
        <v>6</v>
      </c>
      <c r="E353" s="53" t="s">
        <v>181</v>
      </c>
      <c r="F353" s="72"/>
      <c r="G353" s="732">
        <v>1</v>
      </c>
      <c r="H353" s="733" t="s">
        <v>156</v>
      </c>
      <c r="I353" s="161">
        <v>0.03</v>
      </c>
      <c r="J353" s="73"/>
      <c r="K353" s="73"/>
      <c r="L353" s="73"/>
      <c r="M353" s="74"/>
      <c r="N353" s="3"/>
      <c r="O353" s="39" t="s">
        <v>201</v>
      </c>
      <c r="Q353" s="744" t="s">
        <v>566</v>
      </c>
      <c r="V353" s="846" t="str">
        <f t="shared" si="198"/>
        <v>Eau gazeuse</v>
      </c>
      <c r="W353" s="848" t="str">
        <f t="shared" si="199"/>
        <v>10 cl</v>
      </c>
      <c r="X353" s="81">
        <f t="shared" si="200"/>
        <v>2800</v>
      </c>
      <c r="Y353" s="836" t="str">
        <f t="shared" si="201"/>
        <v>2.80 L</v>
      </c>
      <c r="Z353" s="839" t="str">
        <f>IF(OR(C352="",AJ353&lt;&gt;"VOLUME",AN358=0),"","≈ "&amp;TEXT(ROUND(AN353/AN358*10*2,0)/2,"0.0")&amp;"/10")</f>
        <v>≈ 6.5/10</v>
      </c>
      <c r="AA353" s="82" t="str">
        <f t="shared" si="202"/>
        <v/>
      </c>
      <c r="AB353" s="83" t="str">
        <f t="shared" si="203"/>
        <v>L</v>
      </c>
      <c r="AC353" s="842">
        <f t="shared" si="204"/>
        <v>0</v>
      </c>
      <c r="AD353" s="163">
        <f t="shared" si="205"/>
        <v>0</v>
      </c>
      <c r="AE353" s="164">
        <f t="shared" si="206"/>
        <v>0.5</v>
      </c>
      <c r="AF353" s="855">
        <f t="shared" si="207"/>
        <v>1.4</v>
      </c>
      <c r="AH353" s="84">
        <f t="shared" si="208"/>
        <v>3</v>
      </c>
      <c r="AI353" s="85" t="str">
        <f t="shared" si="209"/>
        <v>Eau gazeuse</v>
      </c>
      <c r="AJ353" s="84" t="str">
        <f t="shared" si="210"/>
        <v>VOLUME</v>
      </c>
      <c r="AK353" s="84">
        <f t="shared" si="211"/>
        <v>10</v>
      </c>
      <c r="AL353" s="84">
        <f t="shared" si="212"/>
        <v>100</v>
      </c>
      <c r="AM353" s="84">
        <f>IF(C352="","",R343)</f>
        <v>28</v>
      </c>
      <c r="AN353" s="84">
        <f t="shared" si="213"/>
        <v>2800</v>
      </c>
      <c r="AO353" s="84">
        <f t="shared" si="214"/>
        <v>2.8</v>
      </c>
      <c r="AP353" s="84" t="str">
        <f t="shared" si="215"/>
        <v>L</v>
      </c>
      <c r="AQ353" s="84">
        <f t="shared" si="216"/>
        <v>0</v>
      </c>
      <c r="AR353" s="84">
        <f t="shared" si="217"/>
        <v>1.4</v>
      </c>
      <c r="AS353" s="84" t="str">
        <f t="shared" si="218"/>
        <v>OK</v>
      </c>
    </row>
    <row r="354" spans="1:45" ht="24.95" customHeight="1">
      <c r="A354" s="712"/>
      <c r="B354" s="731">
        <v>5</v>
      </c>
      <c r="C354" s="70" t="s">
        <v>188</v>
      </c>
      <c r="D354" s="79"/>
      <c r="E354" s="53" t="s">
        <v>151</v>
      </c>
      <c r="F354" s="72"/>
      <c r="G354" s="732">
        <v>1</v>
      </c>
      <c r="H354" s="733" t="s">
        <v>151</v>
      </c>
      <c r="I354" s="161">
        <v>0</v>
      </c>
      <c r="J354" s="73"/>
      <c r="K354" s="73"/>
      <c r="L354" s="73"/>
      <c r="M354" s="74"/>
      <c r="N354" s="3"/>
      <c r="O354" s="39" t="s">
        <v>370</v>
      </c>
      <c r="Q354" s="744"/>
      <c r="S354" s="356" t="s">
        <v>564</v>
      </c>
      <c r="V354" s="846" t="str">
        <f t="shared" si="198"/>
        <v>Menthe fraîche</v>
      </c>
      <c r="W354" s="848" t="str">
        <f t="shared" si="199"/>
        <v>6 Feuille(s)</v>
      </c>
      <c r="X354" s="81">
        <f t="shared" si="200"/>
        <v>168</v>
      </c>
      <c r="Y354" s="836" t="str">
        <f t="shared" si="201"/>
        <v>168 feuille(s)</v>
      </c>
      <c r="Z354" s="839" t="str">
        <f>IF(OR(C353="",AJ354&lt;&gt;"VOLUME",AN358=0),"","≈ "&amp;TEXT(ROUND(AN354/AN358*10*2,0)/2,"0.0")&amp;"/10")</f>
        <v/>
      </c>
      <c r="AA354" s="82">
        <f t="shared" si="202"/>
        <v>168</v>
      </c>
      <c r="AB354" s="83" t="str">
        <f t="shared" si="203"/>
        <v>feuille(s)</v>
      </c>
      <c r="AC354" s="842">
        <f t="shared" si="204"/>
        <v>0</v>
      </c>
      <c r="AD354" s="163">
        <f t="shared" si="205"/>
        <v>0</v>
      </c>
      <c r="AE354" s="164">
        <f t="shared" si="206"/>
        <v>0.03</v>
      </c>
      <c r="AF354" s="855">
        <f t="shared" si="207"/>
        <v>5.04</v>
      </c>
      <c r="AH354" s="84">
        <f t="shared" si="208"/>
        <v>4</v>
      </c>
      <c r="AI354" s="85" t="str">
        <f t="shared" si="209"/>
        <v>Menthe fraîche</v>
      </c>
      <c r="AJ354" s="84" t="str">
        <f t="shared" si="210"/>
        <v>AUTRE</v>
      </c>
      <c r="AK354" s="84">
        <f t="shared" si="211"/>
        <v>1</v>
      </c>
      <c r="AL354" s="84">
        <f t="shared" si="212"/>
        <v>6</v>
      </c>
      <c r="AM354" s="84">
        <f>IF(C353="","",R343)</f>
        <v>28</v>
      </c>
      <c r="AN354" s="84">
        <f t="shared" si="213"/>
        <v>168</v>
      </c>
      <c r="AO354" s="84">
        <f t="shared" si="214"/>
        <v>168</v>
      </c>
      <c r="AP354" s="84" t="str">
        <f t="shared" si="215"/>
        <v>feuille(s)</v>
      </c>
      <c r="AQ354" s="84">
        <f t="shared" si="216"/>
        <v>0</v>
      </c>
      <c r="AR354" s="84">
        <f t="shared" si="217"/>
        <v>5.04</v>
      </c>
      <c r="AS354" s="84" t="str">
        <f t="shared" si="218"/>
        <v>OK</v>
      </c>
    </row>
    <row r="355" spans="1:45" ht="24.95" customHeight="1">
      <c r="A355" s="712"/>
      <c r="B355" s="734"/>
      <c r="C355" s="70"/>
      <c r="D355" s="79"/>
      <c r="E355" s="3"/>
      <c r="F355" s="72"/>
      <c r="G355" s="732"/>
      <c r="H355" s="733"/>
      <c r="I355" s="161"/>
      <c r="J355" s="73"/>
      <c r="K355" s="73"/>
      <c r="L355" s="73"/>
      <c r="M355" s="74"/>
      <c r="N355" s="3"/>
      <c r="O355" s="39" t="s">
        <v>205</v>
      </c>
      <c r="S355"/>
      <c r="V355" s="846" t="str">
        <f t="shared" si="198"/>
        <v>Glace</v>
      </c>
      <c r="W355" s="848" t="str">
        <f t="shared" si="199"/>
        <v>QS</v>
      </c>
      <c r="X355" s="81" t="str">
        <f t="shared" si="200"/>
        <v/>
      </c>
      <c r="Y355" s="836" t="str">
        <f t="shared" si="201"/>
        <v>Qt. suffisante</v>
      </c>
      <c r="Z355" s="839" t="str">
        <f>IF(OR(C354="",AJ355&lt;&gt;"VOLUME",AN358=0),"","≈ "&amp;TEXT(ROUND(AN355/AN358*10*2,0)/2,"0.0")&amp;"/10")</f>
        <v/>
      </c>
      <c r="AA355" s="80" t="str">
        <f t="shared" si="202"/>
        <v/>
      </c>
      <c r="AB355" s="83" t="str">
        <f t="shared" si="203"/>
        <v/>
      </c>
      <c r="AC355" s="842">
        <f t="shared" si="204"/>
        <v>0</v>
      </c>
      <c r="AD355" s="163">
        <f t="shared" si="205"/>
        <v>0</v>
      </c>
      <c r="AE355" s="164">
        <f t="shared" si="206"/>
        <v>0</v>
      </c>
      <c r="AF355" s="855">
        <f t="shared" si="207"/>
        <v>0</v>
      </c>
      <c r="AH355" s="84">
        <f t="shared" si="208"/>
        <v>5</v>
      </c>
      <c r="AI355" s="85" t="str">
        <f t="shared" si="209"/>
        <v>Glace</v>
      </c>
      <c r="AJ355" s="84" t="str">
        <f t="shared" si="210"/>
        <v>AUTRE</v>
      </c>
      <c r="AK355" s="84">
        <f t="shared" si="211"/>
        <v>1</v>
      </c>
      <c r="AL355" s="84" t="str">
        <f t="shared" si="212"/>
        <v/>
      </c>
      <c r="AM355" s="84">
        <f>IF(C354="","",R343)</f>
        <v>28</v>
      </c>
      <c r="AN355" s="84" t="str">
        <f t="shared" si="213"/>
        <v/>
      </c>
      <c r="AO355" s="84" t="str">
        <f t="shared" si="214"/>
        <v/>
      </c>
      <c r="AP355" s="84" t="str">
        <f t="shared" si="215"/>
        <v/>
      </c>
      <c r="AQ355" s="84">
        <f t="shared" si="216"/>
        <v>0</v>
      </c>
      <c r="AR355" s="84">
        <f t="shared" si="217"/>
        <v>0</v>
      </c>
      <c r="AS355" s="84" t="str">
        <f t="shared" si="218"/>
        <v>OK</v>
      </c>
    </row>
    <row r="356" spans="1:45" ht="24.95" customHeight="1">
      <c r="A356" s="712"/>
      <c r="B356" s="731"/>
      <c r="C356" s="70"/>
      <c r="D356" s="79"/>
      <c r="E356" s="3"/>
      <c r="F356" s="72"/>
      <c r="G356" s="732"/>
      <c r="H356" s="733"/>
      <c r="I356" s="161"/>
      <c r="J356" s="73"/>
      <c r="K356" s="73"/>
      <c r="L356" s="73"/>
      <c r="M356" s="74"/>
      <c r="N356" s="3"/>
      <c r="O356" s="39" t="s">
        <v>388</v>
      </c>
      <c r="Q356" s="355" t="s">
        <v>558</v>
      </c>
      <c r="S356" s="356" t="s">
        <v>72</v>
      </c>
      <c r="V356" s="847" t="str">
        <f t="shared" si="198"/>
        <v/>
      </c>
      <c r="W356" s="849" t="str">
        <f t="shared" si="199"/>
        <v/>
      </c>
      <c r="X356" s="86" t="str">
        <f t="shared" si="200"/>
        <v/>
      </c>
      <c r="Y356" s="837" t="str">
        <f t="shared" si="201"/>
        <v/>
      </c>
      <c r="Z356" s="840" t="str">
        <f>IF(OR(C355="",AJ356&lt;&gt;"VOLUME",AN358=0),"","≈ "&amp;TEXT(ROUND(AN356/AN358*10*2,0)/2,"0.0")&amp;"/10")</f>
        <v/>
      </c>
      <c r="AA356" s="87" t="str">
        <f t="shared" si="202"/>
        <v/>
      </c>
      <c r="AB356" s="88" t="str">
        <f t="shared" si="203"/>
        <v/>
      </c>
      <c r="AC356" s="843" t="str">
        <f t="shared" si="204"/>
        <v/>
      </c>
      <c r="AD356" s="88" t="str">
        <f t="shared" si="205"/>
        <v/>
      </c>
      <c r="AE356" s="88" t="str">
        <f t="shared" si="206"/>
        <v/>
      </c>
      <c r="AF356" s="834" t="str">
        <f t="shared" si="207"/>
        <v/>
      </c>
      <c r="AH356" s="84" t="str">
        <f t="shared" si="208"/>
        <v/>
      </c>
      <c r="AI356" s="85" t="str">
        <f t="shared" si="209"/>
        <v/>
      </c>
      <c r="AJ356" s="84" t="str">
        <f t="shared" si="210"/>
        <v/>
      </c>
      <c r="AK356" s="84" t="str">
        <f t="shared" si="211"/>
        <v/>
      </c>
      <c r="AL356" s="84" t="str">
        <f t="shared" si="212"/>
        <v/>
      </c>
      <c r="AM356" s="84" t="str">
        <f>IF(C355="","",R343)</f>
        <v/>
      </c>
      <c r="AN356" s="84" t="str">
        <f t="shared" si="213"/>
        <v/>
      </c>
      <c r="AO356" s="84" t="str">
        <f t="shared" si="214"/>
        <v/>
      </c>
      <c r="AP356" s="84" t="str">
        <f t="shared" si="215"/>
        <v/>
      </c>
      <c r="AQ356" s="84" t="str">
        <f t="shared" si="216"/>
        <v/>
      </c>
      <c r="AR356" s="84" t="str">
        <f t="shared" si="217"/>
        <v/>
      </c>
      <c r="AS356" s="84" t="str">
        <f t="shared" si="218"/>
        <v/>
      </c>
    </row>
    <row r="357" spans="1:45" ht="24.95" customHeight="1">
      <c r="A357" s="712"/>
      <c r="B357" s="14" t="s">
        <v>44</v>
      </c>
      <c r="C357" s="146" t="s">
        <v>198</v>
      </c>
      <c r="D357" s="89"/>
      <c r="E357" s="89"/>
      <c r="F357" s="89"/>
      <c r="G357" s="89"/>
      <c r="H357" s="89"/>
      <c r="I357" s="89"/>
      <c r="J357" s="89"/>
      <c r="K357" s="89"/>
      <c r="L357" s="89"/>
      <c r="M357" s="90"/>
      <c r="N357" s="3"/>
      <c r="O357" s="39" t="s">
        <v>390</v>
      </c>
      <c r="Q357"/>
      <c r="S357"/>
      <c r="V357" s="847" t="str">
        <f t="shared" si="198"/>
        <v/>
      </c>
      <c r="W357" s="849" t="str">
        <f t="shared" si="199"/>
        <v/>
      </c>
      <c r="X357" s="86" t="str">
        <f t="shared" si="200"/>
        <v/>
      </c>
      <c r="Y357" s="837" t="str">
        <f t="shared" si="201"/>
        <v/>
      </c>
      <c r="Z357" s="840" t="str">
        <f>IF(OR(C356="",AJ357&lt;&gt;"VOLUME",AN358=0),"","≈ "&amp;TEXT(ROUND(AN357/AN358*10*2,0)/2,"0.0")&amp;"/10")</f>
        <v/>
      </c>
      <c r="AA357" s="87" t="str">
        <f t="shared" si="202"/>
        <v/>
      </c>
      <c r="AB357" s="88" t="str">
        <f t="shared" si="203"/>
        <v/>
      </c>
      <c r="AC357" s="843" t="str">
        <f t="shared" si="204"/>
        <v/>
      </c>
      <c r="AD357" s="88" t="str">
        <f t="shared" si="205"/>
        <v/>
      </c>
      <c r="AE357" s="88" t="str">
        <f t="shared" si="206"/>
        <v/>
      </c>
      <c r="AF357" s="834" t="str">
        <f t="shared" si="207"/>
        <v/>
      </c>
      <c r="AH357" s="84" t="str">
        <f t="shared" si="208"/>
        <v/>
      </c>
      <c r="AI357" s="85" t="str">
        <f t="shared" si="209"/>
        <v/>
      </c>
      <c r="AJ357" s="84" t="str">
        <f t="shared" si="210"/>
        <v/>
      </c>
      <c r="AK357" s="84" t="str">
        <f t="shared" si="211"/>
        <v/>
      </c>
      <c r="AL357" s="84" t="str">
        <f t="shared" si="212"/>
        <v/>
      </c>
      <c r="AM357" s="84" t="str">
        <f>IF(C356="","",R343)</f>
        <v/>
      </c>
      <c r="AN357" s="84" t="str">
        <f t="shared" si="213"/>
        <v/>
      </c>
      <c r="AO357" s="84" t="str">
        <f t="shared" si="214"/>
        <v/>
      </c>
      <c r="AP357" s="84" t="str">
        <f t="shared" si="215"/>
        <v/>
      </c>
      <c r="AQ357" s="84" t="str">
        <f t="shared" si="216"/>
        <v/>
      </c>
      <c r="AR357" s="84" t="str">
        <f t="shared" si="217"/>
        <v/>
      </c>
      <c r="AS357" s="84" t="str">
        <f t="shared" si="218"/>
        <v/>
      </c>
    </row>
    <row r="358" spans="1:45" ht="24.95" customHeight="1">
      <c r="A358" s="712"/>
      <c r="B358" s="91">
        <v>0</v>
      </c>
      <c r="C358" s="10" t="s">
        <v>491</v>
      </c>
      <c r="D358" s="11"/>
      <c r="E358" s="11"/>
      <c r="F358" s="11"/>
      <c r="G358" s="11"/>
      <c r="H358" s="11"/>
      <c r="I358" s="11"/>
      <c r="J358" s="11"/>
      <c r="K358" s="11"/>
      <c r="L358" s="11"/>
      <c r="M358" s="92"/>
      <c r="N358" s="3"/>
      <c r="O358" s="39" t="s">
        <v>125</v>
      </c>
      <c r="Q358" s="29" t="s">
        <v>70</v>
      </c>
      <c r="S358" s="356" t="s">
        <v>602</v>
      </c>
      <c r="V358" s="851" t="s">
        <v>203</v>
      </c>
      <c r="W358" s="93"/>
      <c r="X358" s="845">
        <f>AN358</f>
        <v>4200</v>
      </c>
      <c r="Y358" s="835" t="str">
        <f>IF(AN358=0,"",TEXT(AN358/1000,"0.000")&amp;" L")</f>
        <v>4.200 L</v>
      </c>
      <c r="Z358" s="857"/>
      <c r="AA358" s="93"/>
      <c r="AB358" s="93"/>
      <c r="AC358" s="832">
        <f>AQ358</f>
        <v>0</v>
      </c>
      <c r="AD358" s="844">
        <f>IF(AN358=0,"",AQ358/AN358*100)</f>
        <v>0</v>
      </c>
      <c r="AE358" s="93"/>
      <c r="AF358" s="856">
        <f>AR358</f>
        <v>11.2</v>
      </c>
      <c r="AH358" s="94" t="s">
        <v>203</v>
      </c>
      <c r="AI358" s="94"/>
      <c r="AJ358" s="94"/>
      <c r="AK358" s="94"/>
      <c r="AL358" s="94"/>
      <c r="AM358" s="94"/>
      <c r="AN358" s="94">
        <f>SUMIF(AJ351:AJ357,"VOLUME",AN351:AN357)</f>
        <v>4200</v>
      </c>
      <c r="AO358" s="94"/>
      <c r="AP358" s="94"/>
      <c r="AQ358" s="94">
        <f>SUM(AQ351:AQ357)</f>
        <v>0</v>
      </c>
      <c r="AR358" s="94">
        <f>SUM(AR351:AR357)</f>
        <v>11.2</v>
      </c>
      <c r="AS358" s="94" t="str">
        <f>IF(COUNTIF(AS351:AS357,"&lt;&gt;OK")-COUNTBLANK(AS351:AS357)=0,"OK","À CONTRÔLER")</f>
        <v>OK</v>
      </c>
    </row>
    <row r="359" spans="1:45" ht="24.95" customHeight="1">
      <c r="A359" s="712"/>
      <c r="B359" s="95">
        <v>1</v>
      </c>
      <c r="C359" s="96" t="s">
        <v>7284</v>
      </c>
      <c r="D359" s="96"/>
      <c r="E359" s="96"/>
      <c r="F359" s="96"/>
      <c r="G359" s="96"/>
      <c r="H359" s="96"/>
      <c r="I359" s="96"/>
      <c r="J359" s="96"/>
      <c r="K359" s="96"/>
      <c r="L359" s="96"/>
      <c r="M359" s="74"/>
      <c r="N359" s="3"/>
      <c r="O359" s="39" t="s">
        <v>211</v>
      </c>
      <c r="Q359" s="184"/>
      <c r="S359" s="183"/>
      <c r="V359" s="832" t="s">
        <v>208</v>
      </c>
      <c r="W359" s="19" t="s">
        <v>209</v>
      </c>
      <c r="X359" s="36"/>
      <c r="Y359" s="858"/>
      <c r="Z359" s="859"/>
      <c r="AA359" s="97"/>
      <c r="AB359" s="97"/>
      <c r="AC359" s="97"/>
      <c r="AD359" s="97"/>
      <c r="AE359" s="97"/>
      <c r="AF359" s="860"/>
      <c r="AH359" s="3" t="s">
        <v>6994</v>
      </c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</row>
    <row r="360" spans="1:45" ht="24.95" customHeight="1">
      <c r="A360" s="712"/>
      <c r="B360" s="95">
        <v>2</v>
      </c>
      <c r="C360" s="96" t="s">
        <v>7404</v>
      </c>
      <c r="D360" s="96"/>
      <c r="E360" s="96"/>
      <c r="F360" s="96"/>
      <c r="G360" s="96"/>
      <c r="H360" s="96"/>
      <c r="I360" s="96"/>
      <c r="J360" s="96"/>
      <c r="K360" s="96"/>
      <c r="L360" s="96"/>
      <c r="M360" s="74"/>
      <c r="N360" s="3"/>
      <c r="O360" s="39" t="s">
        <v>216</v>
      </c>
      <c r="P360" s="3"/>
      <c r="Q360" s="29" t="s">
        <v>584</v>
      </c>
      <c r="S360" s="356" t="s">
        <v>609</v>
      </c>
      <c r="V360" s="98" t="str">
        <f t="shared" ref="V360:V367" si="219">IF(C359="","",C359)</f>
        <v>Préparer le Highball et le poste de travail.</v>
      </c>
      <c r="W360" s="98"/>
      <c r="X360" s="98"/>
      <c r="Y360" s="98"/>
      <c r="Z360" s="98"/>
      <c r="AA360" s="98"/>
      <c r="AB360" s="98"/>
      <c r="AC360" s="98"/>
      <c r="AD360" s="98"/>
      <c r="AE360" s="98"/>
      <c r="AF360" s="98"/>
      <c r="AH360" s="146" t="s">
        <v>214</v>
      </c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3"/>
    </row>
    <row r="361" spans="1:45" ht="24.95" customHeight="1">
      <c r="A361" s="712"/>
      <c r="B361" s="95">
        <v>3</v>
      </c>
      <c r="C361" s="96" t="s">
        <v>7405</v>
      </c>
      <c r="D361" s="96"/>
      <c r="E361" s="96"/>
      <c r="F361" s="96"/>
      <c r="G361" s="96"/>
      <c r="H361" s="96"/>
      <c r="I361" s="96"/>
      <c r="J361" s="96"/>
      <c r="K361" s="96"/>
      <c r="L361" s="96"/>
      <c r="M361" s="74"/>
      <c r="N361" s="3"/>
      <c r="O361" s="39" t="s">
        <v>83</v>
      </c>
      <c r="P361" s="3"/>
      <c r="Q361"/>
      <c r="R361" s="3"/>
      <c r="S361" s="3"/>
      <c r="T361" s="3"/>
      <c r="U361" s="3"/>
      <c r="V361" s="98" t="str">
        <f t="shared" si="219"/>
        <v>Déposer la menthe dans le verre.</v>
      </c>
      <c r="W361" s="98"/>
      <c r="X361" s="98"/>
      <c r="Y361" s="98"/>
      <c r="Z361" s="98"/>
      <c r="AA361" s="98"/>
      <c r="AB361" s="98"/>
      <c r="AC361" s="98"/>
      <c r="AD361" s="98"/>
      <c r="AE361" s="98"/>
      <c r="AF361" s="98"/>
      <c r="AH361" s="165" t="s">
        <v>219</v>
      </c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</row>
    <row r="362" spans="1:45" ht="24.95" customHeight="1">
      <c r="A362" s="712"/>
      <c r="B362" s="95">
        <v>4</v>
      </c>
      <c r="C362" s="96" t="s">
        <v>7406</v>
      </c>
      <c r="D362" s="96"/>
      <c r="E362" s="96"/>
      <c r="F362" s="96"/>
      <c r="G362" s="96"/>
      <c r="H362" s="96"/>
      <c r="I362" s="96"/>
      <c r="J362" s="96"/>
      <c r="K362" s="96"/>
      <c r="L362" s="96"/>
      <c r="M362" s="74"/>
      <c r="N362" s="3"/>
      <c r="O362" s="39" t="s">
        <v>355</v>
      </c>
      <c r="P362" s="3"/>
      <c r="Q362" s="745" t="s">
        <v>577</v>
      </c>
      <c r="R362" s="3"/>
      <c r="S362" s="3"/>
      <c r="T362" s="3"/>
      <c r="U362" s="3"/>
      <c r="V362" s="98" t="str">
        <f t="shared" si="219"/>
        <v>Ajouter le jus de citron vert et le sirop.</v>
      </c>
      <c r="W362" s="98"/>
      <c r="X362" s="98"/>
      <c r="Y362" s="98"/>
      <c r="Z362" s="98"/>
      <c r="AA362" s="98"/>
      <c r="AB362" s="98"/>
      <c r="AC362" s="98"/>
      <c r="AD362" s="98"/>
      <c r="AE362" s="98"/>
      <c r="AF362" s="98"/>
      <c r="AH362" s="166" t="s">
        <v>222</v>
      </c>
      <c r="AI362" s="167" t="s">
        <v>223</v>
      </c>
      <c r="AJ362" s="165"/>
      <c r="AK362" s="167" t="s">
        <v>224</v>
      </c>
      <c r="AL362" s="165"/>
      <c r="AM362" s="165"/>
      <c r="AN362" s="165"/>
      <c r="AO362" s="167" t="s">
        <v>225</v>
      </c>
      <c r="AP362" s="165"/>
      <c r="AQ362" s="165"/>
      <c r="AR362" s="165"/>
    </row>
    <row r="363" spans="1:45" ht="24.95" customHeight="1">
      <c r="A363" s="712"/>
      <c r="B363" s="95">
        <v>5</v>
      </c>
      <c r="C363" s="96" t="s">
        <v>7289</v>
      </c>
      <c r="D363" s="96"/>
      <c r="E363" s="96"/>
      <c r="F363" s="96"/>
      <c r="G363" s="96"/>
      <c r="H363" s="96"/>
      <c r="I363" s="96"/>
      <c r="J363" s="96"/>
      <c r="K363" s="96"/>
      <c r="L363" s="96"/>
      <c r="M363" s="74"/>
      <c r="N363" s="3"/>
      <c r="O363" s="39" t="s">
        <v>227</v>
      </c>
      <c r="P363" s="3"/>
      <c r="Q363" s="745"/>
      <c r="R363" s="3"/>
      <c r="S363" s="3"/>
      <c r="T363" s="3"/>
      <c r="U363" s="3"/>
      <c r="V363" s="98" t="str">
        <f t="shared" si="219"/>
        <v>Remplir le verre de glace.</v>
      </c>
      <c r="W363" s="98"/>
      <c r="X363" s="98"/>
      <c r="Y363" s="98"/>
      <c r="Z363" s="98"/>
      <c r="AA363" s="98"/>
      <c r="AB363" s="98"/>
      <c r="AC363" s="98"/>
      <c r="AD363" s="98"/>
      <c r="AE363" s="98"/>
      <c r="AF363" s="98"/>
      <c r="AH363" s="750" t="s">
        <v>156</v>
      </c>
      <c r="AI363" s="748" t="s">
        <v>230</v>
      </c>
      <c r="AJ363" s="748"/>
      <c r="AK363" s="749" t="s">
        <v>231</v>
      </c>
      <c r="AL363" s="749"/>
      <c r="AM363" s="749"/>
      <c r="AN363" s="749"/>
      <c r="AO363" s="746" t="s">
        <v>232</v>
      </c>
      <c r="AP363" s="746"/>
      <c r="AQ363" s="746"/>
      <c r="AR363" s="746"/>
    </row>
    <row r="364" spans="1:45" ht="24.95" customHeight="1">
      <c r="A364" s="712"/>
      <c r="B364" s="95">
        <v>6</v>
      </c>
      <c r="C364" s="96" t="s">
        <v>7366</v>
      </c>
      <c r="D364" s="96"/>
      <c r="E364" s="96"/>
      <c r="F364" s="96"/>
      <c r="G364" s="96"/>
      <c r="H364" s="96"/>
      <c r="I364" s="96"/>
      <c r="J364" s="96"/>
      <c r="K364" s="96"/>
      <c r="L364" s="96"/>
      <c r="M364" s="74"/>
      <c r="N364" s="3"/>
      <c r="O364" s="39" t="s">
        <v>270</v>
      </c>
      <c r="P364" s="3"/>
      <c r="Q364" s="193"/>
      <c r="R364" s="3"/>
      <c r="S364" s="3"/>
      <c r="T364" s="3"/>
      <c r="U364" s="3"/>
      <c r="V364" s="98" t="str">
        <f t="shared" si="219"/>
        <v>Compléter avec l’eau gazeuse.</v>
      </c>
      <c r="W364" s="98"/>
      <c r="X364" s="98"/>
      <c r="Y364" s="98"/>
      <c r="Z364" s="98"/>
      <c r="AA364" s="98"/>
      <c r="AB364" s="98"/>
      <c r="AC364" s="98"/>
      <c r="AD364" s="98"/>
      <c r="AE364" s="98"/>
      <c r="AF364" s="98"/>
      <c r="AH364" s="750"/>
      <c r="AI364" s="748"/>
      <c r="AJ364" s="748"/>
      <c r="AK364" s="749"/>
      <c r="AL364" s="749"/>
      <c r="AM364" s="749"/>
      <c r="AN364" s="749"/>
      <c r="AO364" s="746"/>
      <c r="AP364" s="746"/>
      <c r="AQ364" s="746"/>
      <c r="AR364" s="746"/>
    </row>
    <row r="365" spans="1:45" ht="24.95" customHeight="1">
      <c r="A365" s="712"/>
      <c r="B365" s="95">
        <v>7</v>
      </c>
      <c r="C365" s="96" t="s">
        <v>7407</v>
      </c>
      <c r="D365" s="96"/>
      <c r="E365" s="96"/>
      <c r="F365" s="96"/>
      <c r="G365" s="96"/>
      <c r="H365" s="96"/>
      <c r="I365" s="96"/>
      <c r="J365" s="96"/>
      <c r="K365" s="96"/>
      <c r="L365" s="96"/>
      <c r="M365" s="74"/>
      <c r="N365" s="3"/>
      <c r="O365" s="39" t="s">
        <v>238</v>
      </c>
      <c r="P365" s="3"/>
      <c r="Q365" s="357" t="s">
        <v>590</v>
      </c>
      <c r="R365" s="3"/>
      <c r="S365" s="357" t="s">
        <v>591</v>
      </c>
      <c r="T365" s="378" t="s">
        <v>592</v>
      </c>
      <c r="U365" s="3"/>
      <c r="V365" s="98" t="str">
        <f t="shared" si="219"/>
        <v>Mélanger délicatement.</v>
      </c>
      <c r="W365" s="98"/>
      <c r="X365" s="98"/>
      <c r="Y365" s="98"/>
      <c r="Z365" s="98"/>
      <c r="AA365" s="98"/>
      <c r="AB365" s="98"/>
      <c r="AC365" s="98"/>
      <c r="AD365" s="98"/>
      <c r="AE365" s="98"/>
      <c r="AF365" s="98"/>
      <c r="AH365" s="747" t="s">
        <v>492</v>
      </c>
      <c r="AI365" s="748" t="s">
        <v>241</v>
      </c>
      <c r="AJ365" s="748"/>
      <c r="AK365" s="749" t="s">
        <v>242</v>
      </c>
      <c r="AL365" s="749"/>
      <c r="AM365" s="749"/>
      <c r="AN365" s="749"/>
      <c r="AO365" s="746" t="s">
        <v>243</v>
      </c>
      <c r="AP365" s="746"/>
      <c r="AQ365" s="746"/>
      <c r="AR365" s="746"/>
    </row>
    <row r="366" spans="1:45" ht="24.95" customHeight="1">
      <c r="A366" s="712"/>
      <c r="B366" s="95">
        <v>8</v>
      </c>
      <c r="C366" s="96" t="s">
        <v>7291</v>
      </c>
      <c r="D366" s="96"/>
      <c r="E366" s="96"/>
      <c r="F366" s="96"/>
      <c r="G366" s="96"/>
      <c r="H366" s="96"/>
      <c r="I366" s="96"/>
      <c r="J366" s="96"/>
      <c r="K366" s="96"/>
      <c r="L366" s="96"/>
      <c r="M366" s="74"/>
      <c r="N366" s="3"/>
      <c r="O366" s="39" t="s">
        <v>372</v>
      </c>
      <c r="P366" s="3"/>
      <c r="Q366" s="358"/>
      <c r="R366" s="3"/>
      <c r="S366" s="358"/>
      <c r="T366"/>
      <c r="U366" s="3"/>
      <c r="V366" s="98" t="str">
        <f t="shared" si="219"/>
        <v>Vérifier l’équilibre acidité / sucre.</v>
      </c>
      <c r="W366" s="98"/>
      <c r="X366" s="98"/>
      <c r="Y366" s="98"/>
      <c r="Z366" s="98"/>
      <c r="AA366" s="98"/>
      <c r="AB366" s="98"/>
      <c r="AC366" s="98"/>
      <c r="AD366" s="98"/>
      <c r="AE366" s="98"/>
      <c r="AF366" s="98"/>
      <c r="AH366" s="747"/>
      <c r="AI366" s="748"/>
      <c r="AJ366" s="748"/>
      <c r="AK366" s="749"/>
      <c r="AL366" s="749"/>
      <c r="AM366" s="749"/>
      <c r="AN366" s="749"/>
      <c r="AO366" s="746"/>
      <c r="AP366" s="746"/>
      <c r="AQ366" s="746"/>
      <c r="AR366" s="746"/>
    </row>
    <row r="367" spans="1:45" ht="24.95" customHeight="1">
      <c r="A367" s="712"/>
      <c r="B367" s="101"/>
      <c r="C367" s="89"/>
      <c r="D367" s="89"/>
      <c r="E367" s="89"/>
      <c r="F367" s="89"/>
      <c r="G367" s="89"/>
      <c r="H367" s="89"/>
      <c r="I367" s="89"/>
      <c r="J367" s="89"/>
      <c r="K367" s="89"/>
      <c r="L367" s="89"/>
      <c r="M367" s="90"/>
      <c r="N367" s="3"/>
      <c r="O367" s="39" t="s">
        <v>93</v>
      </c>
      <c r="P367" s="3"/>
      <c r="Q367" s="32" t="s">
        <v>74</v>
      </c>
      <c r="R367" s="3"/>
      <c r="S367" s="360" t="s">
        <v>610</v>
      </c>
      <c r="T367" s="376" t="s">
        <v>611</v>
      </c>
      <c r="U367" s="3"/>
      <c r="V367" s="98" t="str">
        <f t="shared" si="219"/>
        <v>Contrôler la présentation et servir immédiatement.</v>
      </c>
      <c r="W367" s="98"/>
      <c r="X367" s="98"/>
      <c r="Y367" s="98"/>
      <c r="Z367" s="98"/>
      <c r="AA367" s="98"/>
      <c r="AB367" s="98"/>
      <c r="AC367" s="98"/>
      <c r="AD367" s="98"/>
      <c r="AE367" s="98"/>
      <c r="AF367" s="98"/>
      <c r="AH367" s="750" t="s">
        <v>6993</v>
      </c>
      <c r="AI367" s="748" t="s">
        <v>252</v>
      </c>
      <c r="AJ367" s="748"/>
      <c r="AK367" s="749" t="s">
        <v>253</v>
      </c>
      <c r="AL367" s="749"/>
      <c r="AM367" s="749"/>
      <c r="AN367" s="749"/>
      <c r="AO367" s="746" t="s">
        <v>254</v>
      </c>
      <c r="AP367" s="746"/>
      <c r="AQ367" s="746"/>
      <c r="AR367" s="746"/>
    </row>
    <row r="368" spans="1:45" ht="24.95" customHeight="1">
      <c r="A368" s="712"/>
      <c r="B368" s="10" t="s">
        <v>258</v>
      </c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92"/>
      <c r="N368" s="3"/>
      <c r="P368" s="3"/>
      <c r="Q368" s="204"/>
      <c r="R368" s="3"/>
      <c r="S368" s="204"/>
      <c r="T368" s="376"/>
      <c r="U368" s="3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H368" s="750"/>
      <c r="AI368" s="748"/>
      <c r="AJ368" s="748"/>
      <c r="AK368" s="749"/>
      <c r="AL368" s="749"/>
      <c r="AM368" s="749"/>
      <c r="AN368" s="749"/>
      <c r="AO368" s="746"/>
      <c r="AP368" s="746"/>
      <c r="AQ368" s="746"/>
      <c r="AR368" s="746"/>
    </row>
    <row r="369" spans="1:45" ht="24.95" customHeight="1">
      <c r="A369" s="712"/>
      <c r="B369" s="102" t="s">
        <v>259</v>
      </c>
      <c r="C369" s="73" t="s">
        <v>103</v>
      </c>
      <c r="D369" s="73"/>
      <c r="E369" s="73"/>
      <c r="F369" s="73"/>
      <c r="G369" s="73"/>
      <c r="H369" s="73"/>
      <c r="I369" s="73"/>
      <c r="J369" s="73"/>
      <c r="K369" s="73"/>
      <c r="L369" s="73"/>
      <c r="M369" s="74"/>
      <c r="N369" s="3"/>
      <c r="P369" s="3"/>
      <c r="Q369" s="361" t="s">
        <v>621</v>
      </c>
      <c r="R369" s="3"/>
      <c r="S369" s="361" t="s">
        <v>622</v>
      </c>
      <c r="T369" s="376" t="s">
        <v>623</v>
      </c>
      <c r="U369" s="3"/>
      <c r="V369" s="103" t="s">
        <v>260</v>
      </c>
      <c r="W369" s="103" t="s">
        <v>209</v>
      </c>
      <c r="X369" s="103"/>
      <c r="Y369" s="103"/>
      <c r="Z369" s="103"/>
      <c r="AA369" s="103"/>
      <c r="AB369" s="103"/>
      <c r="AC369" s="103"/>
      <c r="AD369" s="103"/>
      <c r="AE369" s="103"/>
      <c r="AF369" s="103"/>
      <c r="AH369" s="171" t="s">
        <v>261</v>
      </c>
      <c r="AI369" s="172"/>
      <c r="AJ369" s="165"/>
      <c r="AK369" s="165"/>
      <c r="AL369" s="165"/>
      <c r="AM369" s="165"/>
      <c r="AN369" s="165"/>
      <c r="AO369" s="165"/>
      <c r="AP369" s="165"/>
      <c r="AQ369" s="165"/>
      <c r="AR369" s="165"/>
    </row>
    <row r="370" spans="1:45" ht="24.95" customHeight="1">
      <c r="A370" s="712"/>
      <c r="B370" s="102" t="s">
        <v>262</v>
      </c>
      <c r="C370" s="73" t="s">
        <v>7337</v>
      </c>
      <c r="D370" s="73"/>
      <c r="E370" s="73"/>
      <c r="F370" s="73"/>
      <c r="G370" s="73"/>
      <c r="H370" s="73"/>
      <c r="I370" s="73"/>
      <c r="J370" s="73"/>
      <c r="K370" s="73"/>
      <c r="L370" s="73"/>
      <c r="M370" s="74"/>
      <c r="N370" s="3"/>
      <c r="P370" s="3"/>
      <c r="Q370" s="204"/>
      <c r="S370" s="204"/>
      <c r="T370" s="376"/>
      <c r="U370" s="3"/>
      <c r="V370" s="98" t="str">
        <f>IF(C369="","",C369)</f>
        <v>Highball</v>
      </c>
      <c r="W370" s="98"/>
      <c r="X370" s="98"/>
      <c r="Y370" s="98"/>
      <c r="Z370" s="98"/>
      <c r="AA370" s="98"/>
      <c r="AB370" s="98"/>
      <c r="AC370" s="98"/>
      <c r="AD370" s="98"/>
      <c r="AE370" s="98"/>
      <c r="AF370" s="98"/>
      <c r="AH370" s="172" t="s">
        <v>264</v>
      </c>
      <c r="AI370" s="172"/>
      <c r="AJ370" s="165"/>
      <c r="AK370" s="172"/>
      <c r="AL370" s="165"/>
      <c r="AM370" s="165"/>
      <c r="AN370" s="165"/>
      <c r="AO370" s="172"/>
      <c r="AP370" s="165"/>
      <c r="AQ370" s="165"/>
      <c r="AR370" s="165"/>
    </row>
    <row r="371" spans="1:45" ht="24.95" customHeight="1">
      <c r="A371" s="712"/>
      <c r="B371" s="104" t="s">
        <v>267</v>
      </c>
      <c r="C371" s="105"/>
      <c r="D371" s="73"/>
      <c r="E371" s="73"/>
      <c r="F371" s="73"/>
      <c r="G371" s="73"/>
      <c r="H371" s="73"/>
      <c r="I371" s="73"/>
      <c r="J371" s="73"/>
      <c r="K371" s="73"/>
      <c r="L371" s="73"/>
      <c r="M371" s="74"/>
      <c r="N371" s="3"/>
      <c r="P371" s="3"/>
      <c r="Q371" s="362" t="s">
        <v>631</v>
      </c>
      <c r="S371" s="362" t="s">
        <v>632</v>
      </c>
      <c r="T371" s="376" t="s">
        <v>633</v>
      </c>
      <c r="U371" s="3"/>
      <c r="V371" s="98" t="str">
        <f>IF(C370="","",C370)</f>
        <v>Doseur / jigger ; cuillère à mélange ; pince à glaçons</v>
      </c>
      <c r="W371" s="98"/>
      <c r="X371" s="98"/>
      <c r="Y371" s="98"/>
      <c r="Z371" s="98"/>
      <c r="AA371" s="98"/>
      <c r="AB371" s="98"/>
      <c r="AC371" s="98"/>
      <c r="AD371" s="98"/>
      <c r="AE371" s="98"/>
      <c r="AF371" s="98"/>
      <c r="AH371" s="172" t="s">
        <v>269</v>
      </c>
      <c r="AI371" s="172"/>
      <c r="AJ371" s="173"/>
      <c r="AK371" s="173"/>
      <c r="AL371" s="165"/>
      <c r="AM371" s="165"/>
      <c r="AN371" s="165"/>
      <c r="AO371" s="165"/>
      <c r="AP371" s="165"/>
      <c r="AQ371" s="165"/>
      <c r="AR371" s="165"/>
    </row>
    <row r="372" spans="1:45" ht="24.95" customHeight="1">
      <c r="A372" s="712"/>
      <c r="N372" s="3"/>
      <c r="P372" s="3"/>
      <c r="Q372" s="204"/>
      <c r="S372" s="204"/>
      <c r="T372" s="376"/>
      <c r="U372" s="3"/>
      <c r="V372" s="98" t="str">
        <f>IF(C371="","",C371)</f>
        <v/>
      </c>
      <c r="W372" s="98"/>
      <c r="X372" s="98"/>
      <c r="Y372" s="98"/>
      <c r="Z372" s="98"/>
      <c r="AA372" s="98"/>
      <c r="AB372" s="98"/>
      <c r="AC372" s="98"/>
      <c r="AD372" s="98"/>
      <c r="AE372" s="98"/>
      <c r="AF372" s="98"/>
      <c r="AH372" s="168" t="s">
        <v>274</v>
      </c>
      <c r="AI372" s="165"/>
      <c r="AJ372" s="173"/>
      <c r="AK372" s="173"/>
      <c r="AL372" s="165"/>
      <c r="AM372" s="165"/>
      <c r="AN372" s="165"/>
      <c r="AO372" s="165"/>
      <c r="AP372" s="165"/>
      <c r="AQ372" s="165"/>
      <c r="AR372" s="165"/>
    </row>
    <row r="373" spans="1:45" ht="24.95" customHeight="1">
      <c r="A373" s="713"/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  <c r="L373" s="106"/>
      <c r="M373" s="107" t="s">
        <v>272</v>
      </c>
      <c r="N373" s="3"/>
      <c r="P373" s="3"/>
      <c r="Q373" s="363" t="s">
        <v>640</v>
      </c>
      <c r="S373" s="363" t="s">
        <v>641</v>
      </c>
      <c r="T373" s="376" t="s">
        <v>642</v>
      </c>
      <c r="U373" s="3"/>
      <c r="V373" s="108" t="s">
        <v>277</v>
      </c>
      <c r="W373" s="108"/>
      <c r="X373" s="108"/>
      <c r="Y373" s="108"/>
      <c r="Z373" s="108"/>
      <c r="AA373" s="108"/>
      <c r="AB373" s="108"/>
      <c r="AC373" s="108"/>
      <c r="AD373" s="108"/>
      <c r="AE373" s="108"/>
      <c r="AF373" s="109" t="s">
        <v>277</v>
      </c>
      <c r="AH373" s="168" t="s">
        <v>278</v>
      </c>
      <c r="AI373" s="172"/>
      <c r="AJ373" s="173"/>
      <c r="AK373" s="173"/>
      <c r="AL373" s="165"/>
      <c r="AM373" s="165"/>
      <c r="AN373" s="165"/>
      <c r="AO373" s="165"/>
      <c r="AP373" s="165"/>
      <c r="AQ373" s="165"/>
      <c r="AR373" s="165"/>
    </row>
    <row r="374" spans="1:45" ht="24.95" customHeight="1">
      <c r="A374" s="723"/>
      <c r="B374" s="724"/>
      <c r="C374" s="724"/>
      <c r="D374" s="724"/>
      <c r="E374" s="724"/>
      <c r="F374" s="724"/>
      <c r="G374" s="724"/>
      <c r="H374" s="724"/>
      <c r="I374" s="724"/>
      <c r="J374" s="724"/>
      <c r="K374" s="724"/>
      <c r="L374" s="724"/>
      <c r="M374" s="724"/>
      <c r="N374" s="3"/>
      <c r="P374" s="3"/>
      <c r="Q374" s="204"/>
      <c r="S374" s="204"/>
      <c r="T374" s="376"/>
      <c r="V374" s="760"/>
      <c r="W374" s="760"/>
      <c r="X374" s="760"/>
      <c r="Y374" s="726"/>
      <c r="Z374" s="727"/>
      <c r="AA374" s="727"/>
      <c r="AB374" s="727"/>
      <c r="AC374" s="727"/>
      <c r="AD374" s="727"/>
      <c r="AE374" s="727"/>
      <c r="AF374" s="727"/>
      <c r="AH374" s="725"/>
      <c r="AI374" s="725"/>
      <c r="AJ374" s="725"/>
      <c r="AK374" s="725"/>
      <c r="AL374" s="725"/>
      <c r="AM374" s="728"/>
      <c r="AN374" s="728"/>
      <c r="AO374" s="728"/>
      <c r="AP374" s="728"/>
      <c r="AQ374" s="728"/>
      <c r="AR374" s="728"/>
      <c r="AS374" s="728"/>
    </row>
    <row r="375" spans="1:45" ht="24.95" customHeight="1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P375" s="3"/>
      <c r="Q375" s="357" t="s">
        <v>651</v>
      </c>
      <c r="S375" s="357" t="s">
        <v>652</v>
      </c>
      <c r="T375" s="376" t="s">
        <v>653</v>
      </c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</row>
    <row r="376" spans="1:45" ht="24.95" customHeight="1">
      <c r="Q376" s="375"/>
      <c r="S376" s="375"/>
      <c r="T376" s="376"/>
    </row>
    <row r="377" spans="1:45" ht="24.95" customHeight="1">
      <c r="Q377" s="364" t="s">
        <v>661</v>
      </c>
      <c r="S377" s="364" t="s">
        <v>662</v>
      </c>
      <c r="T377" s="376" t="s">
        <v>663</v>
      </c>
    </row>
    <row r="378" spans="1:45" ht="24.95" customHeight="1">
      <c r="Q378" s="375"/>
      <c r="S378" s="375"/>
      <c r="T378" s="376"/>
    </row>
    <row r="379" spans="1:45" ht="24.95" customHeight="1">
      <c r="Q379" s="364" t="s">
        <v>670</v>
      </c>
      <c r="S379" s="364" t="s">
        <v>671</v>
      </c>
      <c r="T379" s="376" t="s">
        <v>672</v>
      </c>
    </row>
    <row r="380" spans="1:45" ht="24.95" customHeight="1">
      <c r="Q380" s="375"/>
      <c r="S380" s="375"/>
      <c r="T380" s="376"/>
    </row>
    <row r="381" spans="1:45" ht="24.95" customHeight="1">
      <c r="Q381" s="364" t="s">
        <v>683</v>
      </c>
      <c r="S381" s="364" t="s">
        <v>684</v>
      </c>
      <c r="T381" s="376" t="s">
        <v>685</v>
      </c>
    </row>
    <row r="382" spans="1:45" ht="24.95" customHeight="1">
      <c r="Q382" s="375"/>
      <c r="S382" s="375"/>
      <c r="T382" s="376"/>
    </row>
    <row r="383" spans="1:45" ht="24.95" customHeight="1">
      <c r="Q383" s="364" t="s">
        <v>690</v>
      </c>
      <c r="S383" s="364" t="s">
        <v>691</v>
      </c>
      <c r="T383" s="376" t="s">
        <v>692</v>
      </c>
    </row>
    <row r="384" spans="1:45" ht="24.95" customHeight="1">
      <c r="Q384" s="375"/>
      <c r="S384" s="375"/>
      <c r="T384" s="376"/>
    </row>
    <row r="385" spans="17:20" ht="24.95" customHeight="1">
      <c r="Q385" s="365" t="s">
        <v>696</v>
      </c>
      <c r="S385" s="365" t="s">
        <v>697</v>
      </c>
      <c r="T385" s="379" t="s">
        <v>698</v>
      </c>
    </row>
    <row r="386" spans="17:20" ht="24.95" customHeight="1">
      <c r="Q386" s="375"/>
      <c r="S386" s="375"/>
      <c r="T386" s="376"/>
    </row>
    <row r="387" spans="17:20" ht="24.95" customHeight="1">
      <c r="Q387" s="359" t="s">
        <v>702</v>
      </c>
      <c r="S387" s="359" t="s">
        <v>578</v>
      </c>
      <c r="T387" s="377" t="s">
        <v>579</v>
      </c>
    </row>
    <row r="388" spans="17:20" ht="24.95" customHeight="1">
      <c r="Q388" s="375"/>
      <c r="S388" s="375"/>
      <c r="T388" s="376"/>
    </row>
    <row r="389" spans="17:20" ht="24.95" customHeight="1">
      <c r="Q389" s="366" t="s">
        <v>708</v>
      </c>
      <c r="S389" s="366" t="s">
        <v>709</v>
      </c>
      <c r="T389" s="376" t="s">
        <v>710</v>
      </c>
    </row>
    <row r="390" spans="17:20" ht="24.95" customHeight="1">
      <c r="Q390" s="375"/>
      <c r="S390" s="375"/>
      <c r="T390" s="376"/>
    </row>
    <row r="391" spans="17:20" ht="24.95" customHeight="1">
      <c r="Q391" s="367" t="s">
        <v>714</v>
      </c>
      <c r="S391" s="367" t="s">
        <v>715</v>
      </c>
      <c r="T391" s="376" t="s">
        <v>716</v>
      </c>
    </row>
    <row r="392" spans="17:20" ht="24.95" customHeight="1">
      <c r="Q392" s="375"/>
      <c r="S392" s="375"/>
      <c r="T392" s="376"/>
    </row>
    <row r="393" spans="17:20" ht="24.95" customHeight="1">
      <c r="Q393" s="368" t="s">
        <v>719</v>
      </c>
      <c r="S393" s="368" t="s">
        <v>720</v>
      </c>
      <c r="T393" s="376" t="s">
        <v>721</v>
      </c>
    </row>
    <row r="394" spans="17:20" ht="24.95" customHeight="1">
      <c r="Q394" s="375"/>
      <c r="S394" s="375"/>
      <c r="T394" s="376"/>
    </row>
    <row r="395" spans="17:20" ht="24.95" customHeight="1">
      <c r="Q395" s="369" t="s">
        <v>725</v>
      </c>
      <c r="S395" s="369" t="s">
        <v>726</v>
      </c>
      <c r="T395" s="376" t="s">
        <v>727</v>
      </c>
    </row>
    <row r="396" spans="17:20" ht="24.95" customHeight="1">
      <c r="Q396" s="375"/>
      <c r="S396" s="375"/>
      <c r="T396" s="376"/>
    </row>
    <row r="397" spans="17:20" ht="24.95" customHeight="1">
      <c r="Q397" s="370" t="s">
        <v>731</v>
      </c>
      <c r="S397" s="370" t="s">
        <v>268</v>
      </c>
      <c r="T397" s="376" t="s">
        <v>732</v>
      </c>
    </row>
    <row r="398" spans="17:20" ht="24.95" customHeight="1">
      <c r="Q398" s="358"/>
      <c r="S398" s="375"/>
      <c r="T398" s="376"/>
    </row>
    <row r="399" spans="17:20" ht="24.95" customHeight="1">
      <c r="Q399" s="371" t="s">
        <v>737</v>
      </c>
      <c r="S399" s="371" t="s">
        <v>738</v>
      </c>
      <c r="T399" s="376" t="s">
        <v>739</v>
      </c>
    </row>
    <row r="400" spans="17:20" ht="24.95" customHeight="1">
      <c r="Q400" s="375"/>
      <c r="S400" s="375"/>
      <c r="T400" s="376"/>
    </row>
    <row r="401" spans="17:20" ht="24.95" customHeight="1">
      <c r="Q401" s="364" t="s">
        <v>745</v>
      </c>
      <c r="S401" s="364" t="s">
        <v>746</v>
      </c>
      <c r="T401" s="376" t="s">
        <v>747</v>
      </c>
    </row>
    <row r="402" spans="17:20" ht="24.95" customHeight="1">
      <c r="Q402" s="375"/>
      <c r="S402" s="375"/>
      <c r="T402" s="376"/>
    </row>
    <row r="403" spans="17:20" ht="24.95" customHeight="1">
      <c r="Q403" s="372" t="s">
        <v>752</v>
      </c>
      <c r="S403" s="372" t="s">
        <v>29</v>
      </c>
      <c r="T403" s="376" t="s">
        <v>753</v>
      </c>
    </row>
    <row r="404" spans="17:20" ht="24.95" customHeight="1">
      <c r="Q404" s="375"/>
      <c r="S404" s="375"/>
      <c r="T404" s="376"/>
    </row>
    <row r="405" spans="17:20" ht="24.95" customHeight="1">
      <c r="Q405" s="373" t="s">
        <v>757</v>
      </c>
      <c r="S405" s="373" t="s">
        <v>758</v>
      </c>
      <c r="T405" s="376" t="s">
        <v>759</v>
      </c>
    </row>
    <row r="406" spans="17:20" ht="24.95" customHeight="1">
      <c r="Q406" s="375"/>
      <c r="S406" s="375"/>
      <c r="T406" s="376"/>
    </row>
    <row r="407" spans="17:20" ht="24.95" customHeight="1">
      <c r="Q407" s="366" t="s">
        <v>763</v>
      </c>
      <c r="S407" s="366" t="s">
        <v>764</v>
      </c>
      <c r="T407" s="376" t="s">
        <v>765</v>
      </c>
    </row>
    <row r="408" spans="17:20" ht="24.95" customHeight="1">
      <c r="Q408" s="375"/>
      <c r="S408" s="375"/>
      <c r="T408" s="376"/>
    </row>
    <row r="409" spans="17:20" ht="24.95" customHeight="1">
      <c r="Q409" s="357" t="s">
        <v>769</v>
      </c>
      <c r="S409" s="357" t="s">
        <v>770</v>
      </c>
      <c r="T409" s="376" t="s">
        <v>771</v>
      </c>
    </row>
    <row r="410" spans="17:20" ht="24.95" customHeight="1">
      <c r="Q410" s="375"/>
      <c r="S410" s="375"/>
      <c r="T410" s="376"/>
    </row>
    <row r="411" spans="17:20" ht="24.95" customHeight="1">
      <c r="Q411" s="357" t="s">
        <v>776</v>
      </c>
      <c r="S411" s="357" t="s">
        <v>777</v>
      </c>
      <c r="T411" s="376" t="s">
        <v>778</v>
      </c>
    </row>
    <row r="412" spans="17:20" ht="24.95" customHeight="1">
      <c r="Q412" s="358"/>
      <c r="S412" s="375"/>
      <c r="T412" s="376"/>
    </row>
    <row r="413" spans="17:20" ht="24.95" customHeight="1">
      <c r="Q413" s="745" t="s">
        <v>783</v>
      </c>
      <c r="S413" s="745" t="s">
        <v>578</v>
      </c>
      <c r="T413" s="739" t="s">
        <v>579</v>
      </c>
    </row>
    <row r="414" spans="17:20" ht="24.95" customHeight="1">
      <c r="Q414" s="745"/>
      <c r="S414" s="745"/>
      <c r="T414" s="739"/>
    </row>
    <row r="415" spans="17:20" ht="24.95" customHeight="1">
      <c r="Q415" s="358"/>
    </row>
    <row r="416" spans="17:20" ht="24.95" customHeight="1">
      <c r="Q416" s="374" t="s">
        <v>786</v>
      </c>
      <c r="S416" s="374" t="s">
        <v>787</v>
      </c>
      <c r="T416" s="376" t="s">
        <v>788</v>
      </c>
    </row>
    <row r="417" spans="17:20" ht="24.95" customHeight="1">
      <c r="Q417" s="375"/>
      <c r="S417" s="375"/>
      <c r="T417" s="376"/>
    </row>
    <row r="418" spans="17:20" ht="24.95" customHeight="1">
      <c r="Q418" s="374" t="s">
        <v>793</v>
      </c>
      <c r="S418" s="374" t="s">
        <v>794</v>
      </c>
      <c r="T418" s="376" t="s">
        <v>795</v>
      </c>
    </row>
    <row r="419" spans="17:20" ht="24.95" customHeight="1">
      <c r="Q419" s="375"/>
      <c r="S419" s="375"/>
      <c r="T419" s="376"/>
    </row>
    <row r="420" spans="17:20" ht="24.95" customHeight="1">
      <c r="Q420" s="374" t="s">
        <v>800</v>
      </c>
      <c r="S420" s="374" t="s">
        <v>801</v>
      </c>
      <c r="T420" s="376" t="s">
        <v>802</v>
      </c>
    </row>
    <row r="421" spans="17:20" ht="24.95" customHeight="1">
      <c r="Q421" s="375"/>
      <c r="S421" s="375"/>
      <c r="T421" s="376"/>
    </row>
    <row r="422" spans="17:20" ht="24.95" customHeight="1">
      <c r="Q422" s="374" t="s">
        <v>806</v>
      </c>
      <c r="S422" s="374" t="s">
        <v>807</v>
      </c>
      <c r="T422" s="376" t="s">
        <v>808</v>
      </c>
    </row>
    <row r="423" spans="17:20" ht="24.95" customHeight="1">
      <c r="Q423" s="375"/>
      <c r="S423" s="375"/>
      <c r="T423" s="376"/>
    </row>
    <row r="424" spans="17:20" ht="24.95" customHeight="1">
      <c r="Q424" s="374" t="s">
        <v>813</v>
      </c>
      <c r="S424" s="374" t="s">
        <v>814</v>
      </c>
      <c r="T424" s="376" t="s">
        <v>815</v>
      </c>
    </row>
    <row r="425" spans="17:20" ht="24.95" customHeight="1">
      <c r="Q425" s="375"/>
      <c r="S425" s="375"/>
      <c r="T425" s="376"/>
    </row>
    <row r="426" spans="17:20" ht="24.95" customHeight="1">
      <c r="Q426" s="374" t="s">
        <v>819</v>
      </c>
      <c r="S426" s="374" t="s">
        <v>820</v>
      </c>
      <c r="T426" s="376" t="s">
        <v>821</v>
      </c>
    </row>
    <row r="427" spans="17:20" ht="24.95" customHeight="1">
      <c r="Q427" s="375"/>
      <c r="S427" s="375"/>
      <c r="T427" s="376"/>
    </row>
    <row r="428" spans="17:20" ht="24.95" customHeight="1">
      <c r="Q428" s="374" t="s">
        <v>825</v>
      </c>
      <c r="S428" s="374" t="s">
        <v>826</v>
      </c>
      <c r="T428" s="376" t="s">
        <v>827</v>
      </c>
    </row>
    <row r="429" spans="17:20" ht="24.95" customHeight="1">
      <c r="Q429" s="375"/>
      <c r="S429" s="375"/>
      <c r="T429" s="376"/>
    </row>
    <row r="430" spans="17:20" ht="24.95" customHeight="1">
      <c r="Q430" s="374" t="s">
        <v>831</v>
      </c>
      <c r="S430" s="374" t="s">
        <v>832</v>
      </c>
      <c r="T430" s="376" t="s">
        <v>833</v>
      </c>
    </row>
    <row r="431" spans="17:20" ht="24.95" customHeight="1"/>
    <row r="432" spans="17:20" ht="24.95" customHeight="1">
      <c r="Q432" s="207" t="s">
        <v>844</v>
      </c>
    </row>
    <row r="433" spans="17:17" ht="24.95" customHeight="1">
      <c r="Q433" s="208" t="s">
        <v>845</v>
      </c>
    </row>
    <row r="434" spans="17:17" ht="24.95" customHeight="1">
      <c r="Q434" s="208" t="s">
        <v>846</v>
      </c>
    </row>
    <row r="435" spans="17:17" ht="24.95" customHeight="1"/>
    <row r="436" spans="17:17" ht="24.95" customHeight="1"/>
    <row r="437" spans="17:17" ht="24.95" customHeight="1"/>
    <row r="438" spans="17:17" ht="24.95" customHeight="1"/>
    <row r="439" spans="17:17" ht="24.95" customHeight="1"/>
    <row r="440" spans="17:17" ht="24.95" customHeight="1"/>
    <row r="441" spans="17:17" ht="24.95" customHeight="1"/>
    <row r="442" spans="17:17" ht="24.95" customHeight="1"/>
    <row r="443" spans="17:17" ht="24.95" customHeight="1"/>
    <row r="444" spans="17:17" ht="24.95" customHeight="1"/>
    <row r="445" spans="17:17" ht="24.95" customHeight="1"/>
    <row r="446" spans="17:17" ht="24.95" customHeight="1"/>
    <row r="447" spans="17:17" ht="24.95" customHeight="1"/>
    <row r="448" spans="17:17" ht="24.95" customHeight="1"/>
    <row r="449" ht="24.95" customHeight="1"/>
    <row r="450" ht="24.95" customHeight="1"/>
    <row r="451" ht="24.95" customHeight="1"/>
    <row r="452" ht="24.95" customHeight="1"/>
    <row r="453" ht="24.95" customHeight="1"/>
    <row r="454" ht="24.95" customHeight="1"/>
    <row r="455" ht="24.95" customHeight="1"/>
    <row r="456" ht="24.95" customHeight="1"/>
    <row r="457" ht="24.95" customHeight="1"/>
    <row r="458" ht="24.95" customHeight="1"/>
  </sheetData>
  <mergeCells count="184">
    <mergeCell ref="W269:Y269"/>
    <mergeCell ref="W233:Y233"/>
    <mergeCell ref="W197:Y197"/>
    <mergeCell ref="W161:Y161"/>
    <mergeCell ref="W125:Y125"/>
    <mergeCell ref="W89:Y89"/>
    <mergeCell ref="W53:Y53"/>
    <mergeCell ref="W17:Y17"/>
    <mergeCell ref="V12:AF13"/>
    <mergeCell ref="O1:O2"/>
    <mergeCell ref="O3:O4"/>
    <mergeCell ref="AU3:AY3"/>
    <mergeCell ref="B16:M16"/>
    <mergeCell ref="V16:X16"/>
    <mergeCell ref="A17:A48"/>
    <mergeCell ref="AC23:AF24"/>
    <mergeCell ref="Q29:Q30"/>
    <mergeCell ref="AH39:AH40"/>
    <mergeCell ref="AI39:AJ40"/>
    <mergeCell ref="AH43:AH44"/>
    <mergeCell ref="AI43:AJ44"/>
    <mergeCell ref="AK43:AN44"/>
    <mergeCell ref="AO43:AR44"/>
    <mergeCell ref="V50:X50"/>
    <mergeCell ref="V52:X52"/>
    <mergeCell ref="AK39:AN40"/>
    <mergeCell ref="AO39:AR40"/>
    <mergeCell ref="AH41:AH42"/>
    <mergeCell ref="AI41:AJ42"/>
    <mergeCell ref="AK41:AN42"/>
    <mergeCell ref="AO41:AR42"/>
    <mergeCell ref="AO77:AR78"/>
    <mergeCell ref="AH79:AH80"/>
    <mergeCell ref="AI79:AJ80"/>
    <mergeCell ref="AK79:AN80"/>
    <mergeCell ref="AO79:AR80"/>
    <mergeCell ref="AC59:AF60"/>
    <mergeCell ref="Q65:Q66"/>
    <mergeCell ref="AH75:AH76"/>
    <mergeCell ref="AI75:AJ76"/>
    <mergeCell ref="AK75:AN76"/>
    <mergeCell ref="AO75:AR76"/>
    <mergeCell ref="V86:X86"/>
    <mergeCell ref="V88:X88"/>
    <mergeCell ref="AC95:AF96"/>
    <mergeCell ref="Q101:Q102"/>
    <mergeCell ref="AH111:AH112"/>
    <mergeCell ref="AI111:AJ112"/>
    <mergeCell ref="AH77:AH78"/>
    <mergeCell ref="AI77:AJ78"/>
    <mergeCell ref="AK77:AN78"/>
    <mergeCell ref="AO115:AR116"/>
    <mergeCell ref="V122:X122"/>
    <mergeCell ref="O124:O125"/>
    <mergeCell ref="V124:X124"/>
    <mergeCell ref="AK111:AN112"/>
    <mergeCell ref="AO111:AR112"/>
    <mergeCell ref="AH113:AH114"/>
    <mergeCell ref="AI113:AJ114"/>
    <mergeCell ref="AK113:AN114"/>
    <mergeCell ref="AO113:AR114"/>
    <mergeCell ref="O126:O127"/>
    <mergeCell ref="AC131:AF132"/>
    <mergeCell ref="Q137:Q138"/>
    <mergeCell ref="AH147:AH148"/>
    <mergeCell ref="AI147:AJ148"/>
    <mergeCell ref="AK147:AN148"/>
    <mergeCell ref="AH115:AH116"/>
    <mergeCell ref="AI115:AJ116"/>
    <mergeCell ref="AK115:AN116"/>
    <mergeCell ref="V158:X158"/>
    <mergeCell ref="V160:X160"/>
    <mergeCell ref="AC167:AF168"/>
    <mergeCell ref="Q173:Q174"/>
    <mergeCell ref="AH183:AH184"/>
    <mergeCell ref="AI183:AJ184"/>
    <mergeCell ref="AO147:AR148"/>
    <mergeCell ref="AH149:AH150"/>
    <mergeCell ref="AI149:AJ150"/>
    <mergeCell ref="AK149:AN150"/>
    <mergeCell ref="AO149:AR150"/>
    <mergeCell ref="AH151:AH152"/>
    <mergeCell ref="AI151:AJ152"/>
    <mergeCell ref="AK151:AN152"/>
    <mergeCell ref="AO151:AR152"/>
    <mergeCell ref="AH187:AH188"/>
    <mergeCell ref="AI187:AJ188"/>
    <mergeCell ref="AK187:AN188"/>
    <mergeCell ref="AO187:AR188"/>
    <mergeCell ref="V194:X194"/>
    <mergeCell ref="V196:X196"/>
    <mergeCell ref="AK183:AN184"/>
    <mergeCell ref="AO183:AR184"/>
    <mergeCell ref="AH185:AH186"/>
    <mergeCell ref="AI185:AJ186"/>
    <mergeCell ref="AK185:AN186"/>
    <mergeCell ref="AO185:AR186"/>
    <mergeCell ref="AO221:AR222"/>
    <mergeCell ref="AH223:AH224"/>
    <mergeCell ref="AI223:AJ224"/>
    <mergeCell ref="AK223:AN224"/>
    <mergeCell ref="AO223:AR224"/>
    <mergeCell ref="AC203:AF204"/>
    <mergeCell ref="Q209:Q210"/>
    <mergeCell ref="AH219:AH220"/>
    <mergeCell ref="AI219:AJ220"/>
    <mergeCell ref="AK219:AN220"/>
    <mergeCell ref="AO219:AR220"/>
    <mergeCell ref="V230:X230"/>
    <mergeCell ref="V232:X232"/>
    <mergeCell ref="AC239:AF240"/>
    <mergeCell ref="Q245:Q246"/>
    <mergeCell ref="O247:O248"/>
    <mergeCell ref="O249:O250"/>
    <mergeCell ref="AH221:AH222"/>
    <mergeCell ref="AI221:AJ222"/>
    <mergeCell ref="AK221:AN222"/>
    <mergeCell ref="AH259:AH260"/>
    <mergeCell ref="AI259:AJ260"/>
    <mergeCell ref="AK259:AN260"/>
    <mergeCell ref="AO259:AR260"/>
    <mergeCell ref="V266:X266"/>
    <mergeCell ref="V268:X268"/>
    <mergeCell ref="AH255:AH256"/>
    <mergeCell ref="AI255:AJ256"/>
    <mergeCell ref="AK255:AN256"/>
    <mergeCell ref="AO255:AR256"/>
    <mergeCell ref="AH257:AH258"/>
    <mergeCell ref="AI257:AJ258"/>
    <mergeCell ref="AK257:AN258"/>
    <mergeCell ref="AO257:AR258"/>
    <mergeCell ref="AO293:AR294"/>
    <mergeCell ref="AH295:AH296"/>
    <mergeCell ref="AI295:AJ296"/>
    <mergeCell ref="AK295:AN296"/>
    <mergeCell ref="AO295:AR296"/>
    <mergeCell ref="AC275:AF276"/>
    <mergeCell ref="Q281:Q282"/>
    <mergeCell ref="AH291:AH292"/>
    <mergeCell ref="AI291:AJ292"/>
    <mergeCell ref="AK291:AN292"/>
    <mergeCell ref="AO291:AR292"/>
    <mergeCell ref="V302:X302"/>
    <mergeCell ref="V304:X304"/>
    <mergeCell ref="AC311:AF312"/>
    <mergeCell ref="Q317:Q318"/>
    <mergeCell ref="AH327:AH328"/>
    <mergeCell ref="AI327:AJ328"/>
    <mergeCell ref="AH293:AH294"/>
    <mergeCell ref="AI293:AJ294"/>
    <mergeCell ref="AK293:AN294"/>
    <mergeCell ref="W305:Y305"/>
    <mergeCell ref="AO331:AR332"/>
    <mergeCell ref="V338:X338"/>
    <mergeCell ref="V340:X340"/>
    <mergeCell ref="AK327:AN328"/>
    <mergeCell ref="AO327:AR328"/>
    <mergeCell ref="AH329:AH330"/>
    <mergeCell ref="AI329:AJ330"/>
    <mergeCell ref="AK329:AN330"/>
    <mergeCell ref="AO329:AR330"/>
    <mergeCell ref="AC347:AF348"/>
    <mergeCell ref="Q353:Q354"/>
    <mergeCell ref="Q362:Q363"/>
    <mergeCell ref="AH363:AH364"/>
    <mergeCell ref="AI363:AJ364"/>
    <mergeCell ref="AK363:AN364"/>
    <mergeCell ref="AH331:AH332"/>
    <mergeCell ref="AI331:AJ332"/>
    <mergeCell ref="AK331:AN332"/>
    <mergeCell ref="W341:Y341"/>
    <mergeCell ref="V374:X374"/>
    <mergeCell ref="Q413:Q414"/>
    <mergeCell ref="S413:S414"/>
    <mergeCell ref="T413:T414"/>
    <mergeCell ref="AO363:AR364"/>
    <mergeCell ref="AH365:AH366"/>
    <mergeCell ref="AI365:AJ366"/>
    <mergeCell ref="AK365:AN366"/>
    <mergeCell ref="AO365:AR366"/>
    <mergeCell ref="AH367:AH368"/>
    <mergeCell ref="AI367:AJ368"/>
    <mergeCell ref="AK367:AN368"/>
    <mergeCell ref="AO367:AR368"/>
  </mergeCells>
  <conditionalFormatting sqref="AZ5:AZ122">
    <cfRule type="expression" dxfId="62" priority="8">
      <formula>$AZ5="CONTENANT"</formula>
    </cfRule>
    <cfRule type="expression" dxfId="61" priority="9">
      <formula>$AZ5="MESURE / DOSE"</formula>
    </cfRule>
    <cfRule type="expression" dxfId="60" priority="10">
      <formula>$AZ5="STYLE / FAMILLE"</formula>
    </cfRule>
    <cfRule type="expression" dxfId="59" priority="11">
      <formula>$AZ5="MODE DE SERVICE"</formula>
    </cfRule>
    <cfRule type="expression" dxfId="58" priority="12">
      <formula>$AZ5="MODE DE PRÉPARATION"</formula>
    </cfRule>
    <cfRule type="expression" dxfId="57" priority="13">
      <formula>LEFT($AZ5,7)="BOISSON"</formula>
    </cfRule>
    <cfRule type="expression" dxfId="56" priority="14">
      <formula>LEFT($AZ5,5)="UNITÉ"</formula>
    </cfRule>
  </conditionalFormatting>
  <conditionalFormatting sqref="AZ43:AZ44">
    <cfRule type="expression" dxfId="55" priority="1">
      <formula>#REF!="CONTENANT"</formula>
    </cfRule>
    <cfRule type="expression" dxfId="54" priority="2">
      <formula>#REF!="MESURE / DOSE"</formula>
    </cfRule>
    <cfRule type="expression" dxfId="53" priority="3">
      <formula>#REF!="STYLE / FAMILLE"</formula>
    </cfRule>
    <cfRule type="expression" dxfId="52" priority="4">
      <formula>#REF!="MODE DE SERVICE"</formula>
    </cfRule>
    <cfRule type="expression" dxfId="51" priority="5">
      <formula>#REF!="MODE DE PRÉPARATION"</formula>
    </cfRule>
    <cfRule type="expression" dxfId="50" priority="6">
      <formula>LEFT(#REF!,7)="BOISSON"</formula>
    </cfRule>
    <cfRule type="expression" dxfId="49" priority="7">
      <formula>LEFT(#REF!,5)="UNITÉ"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88DE5-AECC-43F0-81AB-E6220BEB475A}">
  <dimension ref="A1:AV379"/>
  <sheetViews>
    <sheetView topLeftCell="H1" zoomScaleNormal="100" workbookViewId="0">
      <selection activeCell="Q5" sqref="Q5:Q9"/>
    </sheetView>
  </sheetViews>
  <sheetFormatPr baseColWidth="10" defaultColWidth="10.28515625" defaultRowHeight="15"/>
  <cols>
    <col min="1" max="1" width="6" style="1" customWidth="1"/>
    <col min="2" max="2" width="20.5703125" style="1" customWidth="1"/>
    <col min="3" max="3" width="29.42578125" style="1" customWidth="1"/>
    <col min="4" max="4" width="9.7109375" style="1" customWidth="1"/>
    <col min="5" max="5" width="16" style="1" customWidth="1"/>
    <col min="6" max="6" width="22.85546875" style="1" customWidth="1"/>
    <col min="7" max="7" width="12.5703125" style="1" customWidth="1"/>
    <col min="8" max="8" width="16" style="1" customWidth="1"/>
    <col min="9" max="9" width="20.5703125" style="1" customWidth="1"/>
    <col min="10" max="10" width="14.85546875" style="1" customWidth="1"/>
    <col min="11" max="11" width="17.140625" style="1" customWidth="1"/>
    <col min="12" max="12" width="20.7109375" style="1" customWidth="1"/>
    <col min="13" max="13" width="20.5703125" style="1" customWidth="1"/>
    <col min="14" max="14" width="3.42578125" style="1" customWidth="1"/>
    <col min="15" max="15" width="35.5703125" style="1" customWidth="1"/>
    <col min="16" max="16" width="13.7109375" style="1" customWidth="1"/>
    <col min="17" max="17" width="29.7109375" style="1" customWidth="1"/>
    <col min="18" max="18" width="47.7109375" style="1" customWidth="1"/>
    <col min="19" max="19" width="5.7109375" style="1" customWidth="1"/>
    <col min="20" max="20" width="20.28515625" style="1" customWidth="1"/>
    <col min="21" max="21" width="6.28515625" style="1" customWidth="1"/>
    <col min="22" max="25" width="20.28515625" style="1" customWidth="1"/>
    <col min="26" max="26" width="39.42578125" style="1" customWidth="1"/>
    <col min="27" max="27" width="16" style="1" customWidth="1"/>
    <col min="28" max="28" width="18.28515625" style="1" customWidth="1"/>
    <col min="29" max="29" width="25.140625" style="1" customWidth="1"/>
    <col min="30" max="30" width="16" style="1" customWidth="1"/>
    <col min="31" max="31" width="13.7109375" style="1" customWidth="1"/>
    <col min="32" max="32" width="14.85546875" style="1" customWidth="1"/>
    <col min="33" max="33" width="19.7109375" style="1" customWidth="1"/>
    <col min="34" max="34" width="17.140625" style="1" customWidth="1"/>
    <col min="35" max="35" width="20.5703125" style="1" customWidth="1"/>
    <col min="36" max="36" width="38.85546875" style="1" customWidth="1"/>
    <col min="37" max="37" width="10.28515625" style="1"/>
    <col min="38" max="38" width="22.85546875" style="1" customWidth="1"/>
    <col min="39" max="41" width="13.7109375" style="1" customWidth="1"/>
    <col min="42" max="42" width="20.5703125" style="1" customWidth="1"/>
    <col min="43" max="43" width="22" style="1" customWidth="1"/>
    <col min="44" max="44" width="10.28515625" style="1"/>
    <col min="45" max="45" width="24" style="1" customWidth="1"/>
    <col min="46" max="46" width="12" style="1" customWidth="1"/>
    <col min="47" max="16384" width="10.28515625" style="1"/>
  </cols>
  <sheetData>
    <row r="1" spans="1:48" ht="44.1" customHeight="1">
      <c r="B1" s="2" t="s">
        <v>0</v>
      </c>
      <c r="C1" s="2"/>
      <c r="D1" s="2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695" t="s">
        <v>548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L1" s="4"/>
      <c r="AM1" s="4"/>
      <c r="AN1" s="4"/>
      <c r="AO1" s="4"/>
      <c r="AP1" s="4"/>
      <c r="AQ1" s="4"/>
      <c r="AS1" s="4"/>
      <c r="AT1" s="4"/>
      <c r="AV1" s="447">
        <v>1</v>
      </c>
    </row>
    <row r="2" spans="1:48" ht="30" customHeight="1">
      <c r="B2" s="5" t="s">
        <v>3</v>
      </c>
      <c r="C2" s="6" t="s">
        <v>478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44" t="s">
        <v>566</v>
      </c>
      <c r="S2" s="3"/>
      <c r="T2" s="199" t="s">
        <v>556</v>
      </c>
      <c r="U2" s="200"/>
      <c r="V2" s="200"/>
      <c r="W2" s="200"/>
      <c r="X2" s="382"/>
      <c r="Y2" s="3"/>
      <c r="Z2" s="175" t="s">
        <v>284</v>
      </c>
      <c r="AA2" s="175" t="s">
        <v>285</v>
      </c>
      <c r="AB2" s="176"/>
      <c r="AC2" s="176"/>
      <c r="AD2" s="176"/>
      <c r="AE2" s="176"/>
      <c r="AF2" s="176"/>
      <c r="AG2" s="176"/>
      <c r="AH2" s="176"/>
      <c r="AI2" s="176"/>
      <c r="AJ2" s="176"/>
      <c r="AL2" s="4"/>
      <c r="AM2" s="4"/>
      <c r="AN2" s="4"/>
      <c r="AO2" s="4"/>
      <c r="AP2" s="4"/>
      <c r="AQ2" s="4"/>
      <c r="AS2" s="4"/>
      <c r="AT2" s="4"/>
      <c r="AV2" s="447">
        <v>1</v>
      </c>
    </row>
    <row r="3" spans="1:48" ht="25.5">
      <c r="B3" s="216" t="s">
        <v>7266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3"/>
      <c r="O3" s="744"/>
      <c r="Q3" s="356" t="s">
        <v>564</v>
      </c>
      <c r="S3" s="3"/>
      <c r="T3" s="740" t="s">
        <v>552</v>
      </c>
      <c r="U3" s="201"/>
      <c r="V3" s="742" t="s">
        <v>559</v>
      </c>
      <c r="W3" s="380" t="s">
        <v>560</v>
      </c>
      <c r="X3" s="198" t="s">
        <v>561</v>
      </c>
      <c r="Y3" s="3"/>
      <c r="Z3" s="14" t="s">
        <v>98</v>
      </c>
      <c r="AA3" s="177" t="s">
        <v>288</v>
      </c>
      <c r="AB3" s="15"/>
      <c r="AC3" s="15"/>
      <c r="AD3" s="15"/>
      <c r="AE3" s="15"/>
      <c r="AF3" s="15"/>
      <c r="AG3" s="15"/>
      <c r="AH3" s="15"/>
      <c r="AI3" s="15"/>
      <c r="AJ3" s="15"/>
      <c r="AL3" s="752" t="s">
        <v>4</v>
      </c>
      <c r="AM3" s="753"/>
      <c r="AN3" s="753"/>
      <c r="AO3" s="753"/>
      <c r="AP3" s="754"/>
      <c r="AQ3" s="141" t="s">
        <v>5</v>
      </c>
      <c r="AS3" s="141" t="s">
        <v>6</v>
      </c>
      <c r="AT3" s="141"/>
      <c r="AV3" s="447">
        <v>1</v>
      </c>
    </row>
    <row r="4" spans="1:48" ht="21.95" customHeight="1"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3"/>
      <c r="Q4"/>
      <c r="S4" s="3"/>
      <c r="T4" s="741"/>
      <c r="U4" s="202"/>
      <c r="V4" s="743"/>
      <c r="W4" s="381" t="s">
        <v>565</v>
      </c>
      <c r="X4" s="383" t="s">
        <v>6665</v>
      </c>
      <c r="Y4" s="3"/>
      <c r="Z4" s="14" t="s">
        <v>105</v>
      </c>
      <c r="AA4" s="177" t="s">
        <v>291</v>
      </c>
      <c r="AB4" s="15"/>
      <c r="AC4" s="15"/>
      <c r="AD4" s="15"/>
      <c r="AE4" s="15"/>
      <c r="AF4" s="15"/>
      <c r="AG4" s="15"/>
      <c r="AH4" s="15"/>
      <c r="AI4" s="15"/>
      <c r="AJ4" s="15"/>
      <c r="AL4" s="12" t="s">
        <v>9</v>
      </c>
      <c r="AM4" s="13" t="s">
        <v>10</v>
      </c>
      <c r="AN4" s="13" t="s">
        <v>11</v>
      </c>
      <c r="AO4" s="13" t="s">
        <v>12</v>
      </c>
      <c r="AP4" s="13" t="s">
        <v>13</v>
      </c>
      <c r="AQ4" s="142" t="s">
        <v>14</v>
      </c>
      <c r="AS4" s="141" t="s">
        <v>15</v>
      </c>
      <c r="AT4" s="141" t="s">
        <v>16</v>
      </c>
      <c r="AV4" s="447">
        <v>1</v>
      </c>
    </row>
    <row r="5" spans="1:48" ht="21.95" customHeight="1">
      <c r="B5" s="147"/>
      <c r="C5" s="147" t="str">
        <f>"colonne "&amp;SUBSTITUTE(ADDRESS(1,COLUMN(),4),"1","")&amp;"  ▼ "</f>
        <v xml:space="preserve">colonne C  ▼ </v>
      </c>
      <c r="D5" s="147"/>
      <c r="E5" s="147"/>
      <c r="F5" s="147" t="str">
        <f>"colonne "&amp;SUBSTITUTE(ADDRESS(1,COLUMN(),4),"1","")&amp;"  ▼ "</f>
        <v xml:space="preserve">colonne F  ▼ </v>
      </c>
      <c r="G5" s="147"/>
      <c r="H5" s="147"/>
      <c r="I5" s="147" t="str">
        <f>"colonne "&amp;SUBSTITUTE(ADDRESS(1,COLUMN(),4),"1","")&amp;"  ▼ "</f>
        <v xml:space="preserve">colonne I  ▼ </v>
      </c>
      <c r="J5" s="147" t="str">
        <f>"colonne "&amp;SUBSTITUTE(ADDRESS(1,COLUMN(),4),"1","")&amp;"  ▼ "</f>
        <v xml:space="preserve">colonne J  ▼ </v>
      </c>
      <c r="K5" s="147"/>
      <c r="L5" s="147" t="str">
        <f>"colonne "&amp;SUBSTITUTE(ADDRESS(1,COLUMN(),4),"1","")&amp;"  ▼ "</f>
        <v xml:space="preserve">colonne L  ▼ </v>
      </c>
      <c r="M5" s="147"/>
      <c r="N5" s="3"/>
      <c r="O5" s="355" t="s">
        <v>558</v>
      </c>
      <c r="Q5" s="356" t="s">
        <v>72</v>
      </c>
      <c r="S5" s="3"/>
      <c r="T5" s="72">
        <v>40</v>
      </c>
      <c r="U5" s="203"/>
      <c r="V5" s="159">
        <v>1.04</v>
      </c>
      <c r="W5" s="70" t="s">
        <v>569</v>
      </c>
      <c r="X5" s="38" t="s">
        <v>570</v>
      </c>
      <c r="Y5" s="3"/>
      <c r="Z5" s="14" t="s">
        <v>113</v>
      </c>
      <c r="AA5" s="177" t="s">
        <v>294</v>
      </c>
      <c r="AB5" s="15"/>
      <c r="AC5" s="15"/>
      <c r="AD5" s="15"/>
      <c r="AE5" s="15"/>
      <c r="AF5" s="15"/>
      <c r="AG5" s="15"/>
      <c r="AH5" s="15"/>
      <c r="AI5" s="15"/>
      <c r="AJ5" s="15"/>
      <c r="AL5" s="16" t="s">
        <v>20</v>
      </c>
      <c r="AM5" s="17" t="s">
        <v>21</v>
      </c>
      <c r="AN5" s="17">
        <v>1000</v>
      </c>
      <c r="AO5" s="17" t="s">
        <v>22</v>
      </c>
      <c r="AP5" s="17" t="s">
        <v>20</v>
      </c>
      <c r="AQ5" s="143" t="s">
        <v>23</v>
      </c>
      <c r="AS5" s="144" t="s">
        <v>24</v>
      </c>
      <c r="AT5" s="145">
        <v>35</v>
      </c>
      <c r="AV5" s="447">
        <v>1</v>
      </c>
    </row>
    <row r="6" spans="1:48" ht="24.95" customHeight="1">
      <c r="A6" s="149" t="s">
        <v>59</v>
      </c>
      <c r="B6" s="755" t="s">
        <v>60</v>
      </c>
      <c r="C6" s="755"/>
      <c r="D6" s="755"/>
      <c r="E6" s="755"/>
      <c r="F6" s="755"/>
      <c r="G6" s="755"/>
      <c r="H6" s="755"/>
      <c r="I6" s="755"/>
      <c r="J6" s="755"/>
      <c r="K6" s="755"/>
      <c r="L6" s="755"/>
      <c r="M6" s="755"/>
      <c r="N6" s="3"/>
      <c r="O6"/>
      <c r="Q6"/>
      <c r="S6" s="3"/>
      <c r="T6" s="72">
        <v>17</v>
      </c>
      <c r="U6" s="203"/>
      <c r="V6" s="159">
        <v>1.04</v>
      </c>
      <c r="W6" s="70" t="s">
        <v>572</v>
      </c>
      <c r="X6" s="38" t="s">
        <v>573</v>
      </c>
      <c r="Y6" s="3"/>
      <c r="Z6" s="14" t="s">
        <v>118</v>
      </c>
      <c r="AA6" s="179" t="s">
        <v>297</v>
      </c>
      <c r="AB6" s="15"/>
      <c r="AC6" s="15"/>
      <c r="AD6" s="15"/>
      <c r="AE6" s="15"/>
      <c r="AF6" s="15"/>
      <c r="AG6" s="15"/>
      <c r="AH6" s="15"/>
      <c r="AI6" s="15"/>
      <c r="AJ6" s="15"/>
      <c r="AL6" s="18" t="s">
        <v>28</v>
      </c>
      <c r="AM6" s="17" t="s">
        <v>21</v>
      </c>
      <c r="AN6" s="17">
        <v>100</v>
      </c>
      <c r="AO6" s="17" t="s">
        <v>22</v>
      </c>
      <c r="AP6" s="17" t="s">
        <v>28</v>
      </c>
      <c r="AQ6" s="143" t="s">
        <v>23</v>
      </c>
      <c r="AS6" s="144" t="s">
        <v>29</v>
      </c>
      <c r="AT6" s="145">
        <v>30</v>
      </c>
      <c r="AV6" s="447">
        <v>1</v>
      </c>
    </row>
    <row r="7" spans="1:48" ht="24.95" customHeight="1">
      <c r="A7" s="757"/>
      <c r="B7" s="27" t="s">
        <v>67</v>
      </c>
      <c r="C7" s="28" t="s">
        <v>6668</v>
      </c>
      <c r="D7" s="28"/>
      <c r="E7" s="27" t="s">
        <v>69</v>
      </c>
      <c r="F7" s="355" t="s">
        <v>558</v>
      </c>
      <c r="G7" s="30"/>
      <c r="H7" s="27" t="s">
        <v>71</v>
      </c>
      <c r="I7" s="356" t="s">
        <v>564</v>
      </c>
      <c r="J7" s="30"/>
      <c r="K7" s="27" t="s">
        <v>73</v>
      </c>
      <c r="L7" s="714" t="s">
        <v>10</v>
      </c>
      <c r="M7" s="33"/>
      <c r="N7" s="3"/>
      <c r="O7" s="29" t="s">
        <v>70</v>
      </c>
      <c r="Q7" s="356" t="s">
        <v>602</v>
      </c>
      <c r="S7" s="3"/>
      <c r="T7" s="72">
        <v>29</v>
      </c>
      <c r="U7" s="203"/>
      <c r="V7" s="159">
        <v>0.97</v>
      </c>
      <c r="W7" s="70" t="s">
        <v>575</v>
      </c>
      <c r="X7" s="38" t="s">
        <v>576</v>
      </c>
      <c r="Y7" s="3"/>
      <c r="Z7" s="14" t="s">
        <v>126</v>
      </c>
      <c r="AA7" s="177" t="s">
        <v>300</v>
      </c>
      <c r="AB7" s="15"/>
      <c r="AC7" s="15"/>
      <c r="AD7" s="15"/>
      <c r="AE7" s="15"/>
      <c r="AF7" s="15"/>
      <c r="AG7" s="15"/>
      <c r="AH7" s="15"/>
      <c r="AI7" s="15"/>
      <c r="AJ7" s="15"/>
      <c r="AL7" s="18" t="s">
        <v>32</v>
      </c>
      <c r="AM7" s="17" t="s">
        <v>21</v>
      </c>
      <c r="AN7" s="17">
        <v>10</v>
      </c>
      <c r="AO7" s="17" t="s">
        <v>22</v>
      </c>
      <c r="AP7" s="17" t="s">
        <v>32</v>
      </c>
      <c r="AQ7" s="143" t="s">
        <v>23</v>
      </c>
      <c r="AS7" s="144" t="s">
        <v>33</v>
      </c>
      <c r="AT7" s="145">
        <v>40</v>
      </c>
      <c r="AV7" s="447">
        <v>1</v>
      </c>
    </row>
    <row r="8" spans="1:48" ht="24.95" customHeight="1">
      <c r="A8" s="757"/>
      <c r="B8" s="27" t="s">
        <v>80</v>
      </c>
      <c r="C8" s="38" t="s">
        <v>561</v>
      </c>
      <c r="D8" s="30"/>
      <c r="E8" s="27" t="s">
        <v>82</v>
      </c>
      <c r="F8" s="39" t="s">
        <v>83</v>
      </c>
      <c r="G8" s="30"/>
      <c r="H8" s="27" t="s">
        <v>84</v>
      </c>
      <c r="I8" s="40">
        <v>1</v>
      </c>
      <c r="J8" s="41" t="s">
        <v>83</v>
      </c>
      <c r="K8" s="41"/>
      <c r="L8" s="42" t="s">
        <v>76</v>
      </c>
      <c r="M8" s="33"/>
      <c r="N8" s="3"/>
      <c r="O8" s="184"/>
      <c r="Q8" s="183"/>
      <c r="S8" s="3"/>
      <c r="T8" s="72">
        <v>28</v>
      </c>
      <c r="U8" s="203"/>
      <c r="V8" s="159">
        <v>1.04</v>
      </c>
      <c r="W8" s="70" t="s">
        <v>582</v>
      </c>
      <c r="X8" s="38" t="s">
        <v>583</v>
      </c>
      <c r="Y8" s="3"/>
      <c r="Z8" s="14" t="s">
        <v>134</v>
      </c>
      <c r="AA8" s="177" t="s">
        <v>303</v>
      </c>
      <c r="AB8" s="15"/>
      <c r="AC8" s="15"/>
      <c r="AD8" s="15"/>
      <c r="AE8" s="15"/>
      <c r="AF8" s="15"/>
      <c r="AG8" s="15"/>
      <c r="AH8" s="15"/>
      <c r="AI8" s="15"/>
      <c r="AJ8" s="15"/>
      <c r="AL8" s="18" t="s">
        <v>22</v>
      </c>
      <c r="AM8" s="17" t="s">
        <v>21</v>
      </c>
      <c r="AN8" s="17">
        <v>1</v>
      </c>
      <c r="AO8" s="17" t="s">
        <v>22</v>
      </c>
      <c r="AP8" s="17" t="s">
        <v>22</v>
      </c>
      <c r="AQ8" s="143" t="s">
        <v>23</v>
      </c>
      <c r="AS8" s="144" t="s">
        <v>36</v>
      </c>
      <c r="AT8" s="145">
        <v>18</v>
      </c>
      <c r="AV8" s="447">
        <v>1</v>
      </c>
    </row>
    <row r="9" spans="1:48" ht="24.95" customHeight="1">
      <c r="A9" s="757"/>
      <c r="B9" s="27" t="s">
        <v>94</v>
      </c>
      <c r="C9" s="151" t="s">
        <v>6670</v>
      </c>
      <c r="D9" s="30"/>
      <c r="E9" s="30"/>
      <c r="F9" s="30"/>
      <c r="G9" s="30"/>
      <c r="H9" s="27" t="s">
        <v>7267</v>
      </c>
      <c r="I9" s="48">
        <v>15</v>
      </c>
      <c r="J9" s="152" t="s">
        <v>32</v>
      </c>
      <c r="K9" s="30"/>
      <c r="L9" s="30"/>
      <c r="M9" s="33"/>
      <c r="N9" s="3"/>
      <c r="O9" s="29" t="s">
        <v>584</v>
      </c>
      <c r="Q9" s="356" t="s">
        <v>609</v>
      </c>
      <c r="S9" s="3"/>
      <c r="T9" s="72">
        <v>44.7</v>
      </c>
      <c r="U9" s="203"/>
      <c r="V9" s="159">
        <v>0.94</v>
      </c>
      <c r="W9" s="70" t="s">
        <v>587</v>
      </c>
      <c r="X9" s="38" t="s">
        <v>588</v>
      </c>
      <c r="Y9" s="3"/>
      <c r="Z9" s="14" t="s">
        <v>152</v>
      </c>
      <c r="AA9" s="177" t="s">
        <v>306</v>
      </c>
      <c r="AB9" s="15"/>
      <c r="AC9" s="15"/>
      <c r="AD9" s="15"/>
      <c r="AE9" s="15"/>
      <c r="AF9" s="15"/>
      <c r="AG9" s="15"/>
      <c r="AH9" s="15"/>
      <c r="AI9" s="15"/>
      <c r="AJ9" s="15"/>
      <c r="AL9" s="20" t="s">
        <v>39</v>
      </c>
      <c r="AM9" s="17" t="s">
        <v>21</v>
      </c>
      <c r="AN9" s="17">
        <v>500</v>
      </c>
      <c r="AO9" s="17" t="s">
        <v>22</v>
      </c>
      <c r="AP9" s="17" t="s">
        <v>20</v>
      </c>
      <c r="AQ9" s="143" t="s">
        <v>23</v>
      </c>
      <c r="AS9" s="144" t="s">
        <v>40</v>
      </c>
      <c r="AT9" s="145">
        <v>18</v>
      </c>
      <c r="AV9" s="447">
        <v>1</v>
      </c>
    </row>
    <row r="10" spans="1:48" ht="24.95" customHeight="1">
      <c r="A10" s="757"/>
      <c r="B10" s="27"/>
      <c r="C10" s="52" t="str">
        <f>UPPER(LEFT(C7,1)) &amp; " . " &amp; UPPER(LEFT(C7,1)) &amp; LOWER(MID(C7,2,999)) &amp; " . " &amp; UPPER(LEFT(F7,1)) &amp; LOWER(MID(F7,2,999)) &amp; " . " &amp; UPPER(LEFT(I7,1)) &amp; LOWER(MID(I7,2,999)) &amp; " . " &amp; "Verre " &amp; UPPER(LEFT(F8,1)) &amp; LOWER(MID(F8,2,999)) &amp; IF(LEFT(L7,1)=UPPER(LEFT(L7,1)),".","") &amp; UPPER(LEFT(L7,1)) &amp; LOWER(MID(L7,2,999))&amp;"  couleur"&amp;" "&amp;C8&amp;"  intensité"&amp;" "&amp;C9</f>
        <v>N . Nom du cocktail . Avec ou sans alcool . Quand  . Verre Tumbler (old fashioned).Famille  couleur Couleur dominante à coller  intensité ****  précisez</v>
      </c>
      <c r="D10" s="52"/>
      <c r="E10" s="52"/>
      <c r="F10" s="52"/>
      <c r="G10" s="52"/>
      <c r="H10" s="52"/>
      <c r="I10" s="52"/>
      <c r="J10" s="52"/>
      <c r="K10" s="52"/>
      <c r="L10" s="30"/>
      <c r="M10" s="33"/>
      <c r="N10" s="3"/>
      <c r="O10"/>
      <c r="P10" s="3"/>
      <c r="Q10" s="3"/>
      <c r="R10" s="3"/>
      <c r="S10" s="3"/>
      <c r="T10" s="72">
        <v>25</v>
      </c>
      <c r="U10" s="203"/>
      <c r="V10" s="159">
        <v>1.05</v>
      </c>
      <c r="W10" s="70" t="s">
        <v>589</v>
      </c>
      <c r="X10" s="38" t="s">
        <v>576</v>
      </c>
      <c r="Y10" s="3"/>
      <c r="Z10" s="14" t="s">
        <v>158</v>
      </c>
      <c r="AA10" s="177" t="s">
        <v>308</v>
      </c>
      <c r="AB10" s="15"/>
      <c r="AC10" s="15"/>
      <c r="AD10" s="15"/>
      <c r="AE10" s="15"/>
      <c r="AF10" s="15"/>
      <c r="AG10" s="15"/>
      <c r="AH10" s="15"/>
      <c r="AI10" s="15"/>
      <c r="AJ10" s="15"/>
      <c r="AL10" s="20" t="s">
        <v>42</v>
      </c>
      <c r="AM10" s="17" t="s">
        <v>21</v>
      </c>
      <c r="AN10" s="17">
        <v>250</v>
      </c>
      <c r="AO10" s="17" t="s">
        <v>22</v>
      </c>
      <c r="AP10" s="17" t="s">
        <v>20</v>
      </c>
      <c r="AQ10" s="143" t="s">
        <v>23</v>
      </c>
      <c r="AS10" s="144" t="s">
        <v>43</v>
      </c>
      <c r="AT10" s="145">
        <v>24</v>
      </c>
      <c r="AV10" s="447">
        <v>1</v>
      </c>
    </row>
    <row r="11" spans="1:48" ht="24.95" customHeight="1">
      <c r="A11" s="757"/>
      <c r="B11" s="27" t="s">
        <v>110</v>
      </c>
      <c r="C11" s="55" t="s">
        <v>111</v>
      </c>
      <c r="D11" s="55"/>
      <c r="E11" s="154"/>
      <c r="F11" s="154"/>
      <c r="G11" s="154"/>
      <c r="H11" s="154"/>
      <c r="I11" s="154"/>
      <c r="J11" s="154"/>
      <c r="K11" s="154"/>
      <c r="L11" s="30"/>
      <c r="M11" s="33"/>
      <c r="N11" s="3"/>
      <c r="O11" s="745" t="s">
        <v>577</v>
      </c>
      <c r="P11" s="3"/>
      <c r="Q11" s="3"/>
      <c r="R11" s="3"/>
      <c r="S11" s="3"/>
      <c r="T11" s="72">
        <v>40</v>
      </c>
      <c r="U11" s="203"/>
      <c r="V11" s="159">
        <v>0.95</v>
      </c>
      <c r="W11" s="70" t="s">
        <v>594</v>
      </c>
      <c r="X11" s="38" t="s">
        <v>595</v>
      </c>
      <c r="Y11" s="3"/>
      <c r="Z11" s="14" t="s">
        <v>35</v>
      </c>
      <c r="AA11" s="177" t="s">
        <v>311</v>
      </c>
      <c r="AB11" s="165"/>
      <c r="AC11" s="165"/>
      <c r="AD11" s="165"/>
      <c r="AE11" s="165"/>
      <c r="AF11" s="165"/>
      <c r="AG11" s="165"/>
      <c r="AH11" s="165"/>
      <c r="AI11" s="165"/>
      <c r="AJ11" s="165"/>
      <c r="AL11" s="20" t="s">
        <v>45</v>
      </c>
      <c r="AM11" s="17" t="s">
        <v>21</v>
      </c>
      <c r="AN11" s="17">
        <v>333.33333299999998</v>
      </c>
      <c r="AO11" s="17" t="s">
        <v>22</v>
      </c>
      <c r="AP11" s="17" t="s">
        <v>20</v>
      </c>
      <c r="AQ11" s="143" t="s">
        <v>23</v>
      </c>
      <c r="AS11" s="144" t="s">
        <v>46</v>
      </c>
      <c r="AT11" s="145">
        <v>24</v>
      </c>
      <c r="AV11" s="447">
        <v>1</v>
      </c>
    </row>
    <row r="12" spans="1:48" ht="24.95" customHeight="1">
      <c r="A12" s="757"/>
      <c r="B12" s="30"/>
      <c r="C12" s="30"/>
      <c r="D12" s="30"/>
      <c r="E12" s="30"/>
      <c r="F12" s="30"/>
      <c r="G12" s="30"/>
      <c r="H12" s="206"/>
      <c r="I12" s="30"/>
      <c r="J12" s="30"/>
      <c r="K12" s="30"/>
      <c r="L12" s="30"/>
      <c r="M12" s="33"/>
      <c r="N12" s="3"/>
      <c r="O12" s="745"/>
      <c r="P12" s="3"/>
      <c r="Q12" s="3"/>
      <c r="R12" s="3"/>
      <c r="S12" s="3"/>
      <c r="T12" s="72">
        <v>40</v>
      </c>
      <c r="U12" s="203"/>
      <c r="V12" s="159">
        <v>0.95</v>
      </c>
      <c r="W12" s="70" t="s">
        <v>597</v>
      </c>
      <c r="X12" s="38" t="s">
        <v>570</v>
      </c>
      <c r="Y12" s="3"/>
      <c r="AD12" s="3"/>
      <c r="AE12" s="3"/>
      <c r="AF12" s="3"/>
      <c r="AG12" s="3"/>
      <c r="AH12" s="3"/>
      <c r="AI12" s="3"/>
      <c r="AJ12" s="3"/>
      <c r="AL12" s="20" t="s">
        <v>48</v>
      </c>
      <c r="AM12" s="17" t="s">
        <v>21</v>
      </c>
      <c r="AN12" s="17">
        <v>666.66666699999996</v>
      </c>
      <c r="AO12" s="17" t="s">
        <v>22</v>
      </c>
      <c r="AP12" s="17" t="s">
        <v>20</v>
      </c>
      <c r="AQ12" s="143" t="s">
        <v>23</v>
      </c>
      <c r="AS12" s="144" t="s">
        <v>49</v>
      </c>
      <c r="AT12" s="145">
        <v>18</v>
      </c>
      <c r="AV12" s="447">
        <v>1</v>
      </c>
    </row>
    <row r="13" spans="1:48" ht="24.95" customHeight="1">
      <c r="A13" s="757"/>
      <c r="B13" s="57" t="s">
        <v>121</v>
      </c>
      <c r="C13" s="58" t="s">
        <v>568</v>
      </c>
      <c r="D13" s="58"/>
      <c r="E13" s="59"/>
      <c r="F13" s="57" t="s">
        <v>123</v>
      </c>
      <c r="G13" s="58"/>
      <c r="H13" s="60"/>
      <c r="I13" s="60"/>
      <c r="J13" s="61"/>
      <c r="K13" s="61"/>
      <c r="L13" s="61"/>
      <c r="M13" s="62"/>
      <c r="N13" s="3"/>
      <c r="O13" s="193"/>
      <c r="P13" s="3"/>
      <c r="Q13" s="3"/>
      <c r="R13" s="3"/>
      <c r="S13" s="3"/>
      <c r="T13" s="72">
        <v>40</v>
      </c>
      <c r="U13" s="203"/>
      <c r="V13" s="159">
        <v>0.96</v>
      </c>
      <c r="W13" s="70" t="s">
        <v>599</v>
      </c>
      <c r="X13" s="38" t="s">
        <v>576</v>
      </c>
      <c r="Y13" s="3"/>
      <c r="Z13" s="146" t="s">
        <v>214</v>
      </c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L13" s="20" t="s">
        <v>50</v>
      </c>
      <c r="AM13" s="17" t="s">
        <v>21</v>
      </c>
      <c r="AN13" s="17">
        <v>125</v>
      </c>
      <c r="AO13" s="17" t="s">
        <v>22</v>
      </c>
      <c r="AP13" s="17" t="s">
        <v>20</v>
      </c>
      <c r="AQ13" s="143" t="s">
        <v>23</v>
      </c>
      <c r="AS13" s="144" t="s">
        <v>51</v>
      </c>
      <c r="AT13" s="145">
        <v>12</v>
      </c>
      <c r="AV13" s="447">
        <v>1</v>
      </c>
    </row>
    <row r="14" spans="1:48" ht="24.95" customHeight="1">
      <c r="A14" s="757"/>
      <c r="B14" s="10" t="s">
        <v>131</v>
      </c>
      <c r="C14" s="10" t="s">
        <v>132</v>
      </c>
      <c r="D14" s="10"/>
      <c r="E14" s="10"/>
      <c r="F14" s="10"/>
      <c r="G14" s="10"/>
      <c r="H14" s="10"/>
      <c r="I14" s="10"/>
      <c r="J14" s="11" t="str">
        <f>IF(COUNTIF(C16:C22,"*~**")+COUNTIF(C16:C22,"*~?*")=0,"",IF(COUNTIF(C16:C22,"*~**")&gt;0,COUNTIF(C16:C22,"*~**")&amp;" allergène"&amp;IF(COUNTIF(C16:C22,"*~**")&gt;1,"s","")&amp;" repéré"&amp;IF(COUNTIF(C16:C22,"*~**")&gt;1,"s","")&amp;" par *","")&amp;IF(AND(COUNTIF(C16:C22,"*~**")&gt;0,COUNTIF(C16:C22,"*~?*")&gt;0)," | ","")&amp;IF(COUNTIF(C16:C22,"*~?*")&gt;0,COUNTIF(C16:C22,"*~?*")&amp;" produit"&amp;IF(COUNTIF(C16:C22,"*~?*")&gt;1,"s","")&amp;" à vérifier par ?",""))</f>
        <v/>
      </c>
      <c r="K14" s="10"/>
      <c r="L14" s="10"/>
      <c r="M14" s="63"/>
      <c r="N14" s="3"/>
      <c r="O14" s="357" t="s">
        <v>590</v>
      </c>
      <c r="P14" s="3"/>
      <c r="Q14" s="357" t="s">
        <v>591</v>
      </c>
      <c r="R14" s="378" t="s">
        <v>592</v>
      </c>
      <c r="S14" s="3"/>
      <c r="T14" s="72">
        <v>40</v>
      </c>
      <c r="U14" s="203"/>
      <c r="V14" s="159">
        <v>0.94</v>
      </c>
      <c r="W14" s="70" t="s">
        <v>601</v>
      </c>
      <c r="X14" s="38" t="s">
        <v>595</v>
      </c>
      <c r="Y14" s="3"/>
      <c r="Z14" s="165" t="s">
        <v>219</v>
      </c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L14" s="20" t="s">
        <v>52</v>
      </c>
      <c r="AM14" s="17" t="s">
        <v>21</v>
      </c>
      <c r="AN14" s="17">
        <v>125</v>
      </c>
      <c r="AO14" s="17" t="s">
        <v>22</v>
      </c>
      <c r="AP14" s="17" t="s">
        <v>20</v>
      </c>
      <c r="AQ14" s="143" t="s">
        <v>23</v>
      </c>
      <c r="AS14" s="144" t="s">
        <v>53</v>
      </c>
      <c r="AT14" s="145">
        <v>12</v>
      </c>
      <c r="AV14" s="447">
        <v>1</v>
      </c>
    </row>
    <row r="15" spans="1:48" ht="24.95" customHeight="1">
      <c r="A15" s="757"/>
      <c r="B15" s="66">
        <v>0</v>
      </c>
      <c r="C15" s="64" t="s">
        <v>141</v>
      </c>
      <c r="D15" s="65" t="s">
        <v>142</v>
      </c>
      <c r="E15" s="64" t="s">
        <v>9</v>
      </c>
      <c r="F15" s="66" t="s">
        <v>143</v>
      </c>
      <c r="G15" s="66" t="s">
        <v>144</v>
      </c>
      <c r="H15" s="66" t="s">
        <v>145</v>
      </c>
      <c r="I15" s="67" t="s">
        <v>146</v>
      </c>
      <c r="J15" s="67" t="s">
        <v>847</v>
      </c>
      <c r="K15" s="67" t="s">
        <v>148</v>
      </c>
      <c r="L15" s="67" t="s">
        <v>149</v>
      </c>
      <c r="M15" s="68" t="s">
        <v>150</v>
      </c>
      <c r="N15" s="3"/>
      <c r="O15" s="358"/>
      <c r="P15" s="3"/>
      <c r="Q15" s="358"/>
      <c r="R15"/>
      <c r="T15" s="72">
        <v>40</v>
      </c>
      <c r="U15" s="203"/>
      <c r="V15" s="159">
        <v>1.04</v>
      </c>
      <c r="W15" s="70" t="s">
        <v>604</v>
      </c>
      <c r="X15" s="38" t="s">
        <v>605</v>
      </c>
      <c r="Z15" s="166" t="s">
        <v>222</v>
      </c>
      <c r="AA15" s="167" t="s">
        <v>223</v>
      </c>
      <c r="AB15" s="165"/>
      <c r="AC15" s="167" t="s">
        <v>224</v>
      </c>
      <c r="AD15" s="165"/>
      <c r="AE15" s="165"/>
      <c r="AF15" s="165"/>
      <c r="AG15" s="167" t="s">
        <v>225</v>
      </c>
      <c r="AH15" s="165"/>
      <c r="AI15" s="165"/>
      <c r="AJ15" s="165"/>
      <c r="AL15" s="21" t="s">
        <v>54</v>
      </c>
      <c r="AM15" s="17" t="s">
        <v>55</v>
      </c>
      <c r="AN15" s="17">
        <v>1000</v>
      </c>
      <c r="AO15" s="17" t="s">
        <v>56</v>
      </c>
      <c r="AP15" s="17" t="s">
        <v>54</v>
      </c>
      <c r="AQ15" s="148" t="s">
        <v>57</v>
      </c>
      <c r="AS15" s="144" t="s">
        <v>58</v>
      </c>
      <c r="AT15" s="145">
        <v>20</v>
      </c>
      <c r="AV15" s="447">
        <v>1</v>
      </c>
    </row>
    <row r="16" spans="1:48" ht="24.95" customHeight="1">
      <c r="A16" s="757"/>
      <c r="B16" s="158">
        <v>1</v>
      </c>
      <c r="C16" s="70"/>
      <c r="D16" s="79"/>
      <c r="E16" s="3"/>
      <c r="F16" s="72"/>
      <c r="G16" s="159"/>
      <c r="H16" s="160"/>
      <c r="I16" s="161"/>
      <c r="J16" s="73" t="s">
        <v>849</v>
      </c>
      <c r="K16" s="73"/>
      <c r="L16" s="73"/>
      <c r="M16" s="74"/>
      <c r="N16" s="3"/>
      <c r="O16" s="32" t="s">
        <v>74</v>
      </c>
      <c r="P16" s="3"/>
      <c r="Q16" s="360" t="s">
        <v>610</v>
      </c>
      <c r="R16" s="376" t="s">
        <v>611</v>
      </c>
      <c r="T16" s="72">
        <v>40</v>
      </c>
      <c r="U16" s="203"/>
      <c r="V16" s="159">
        <v>1.04</v>
      </c>
      <c r="W16" s="70" t="s">
        <v>607</v>
      </c>
      <c r="X16" s="38" t="s">
        <v>608</v>
      </c>
      <c r="Z16" s="750" t="s">
        <v>156</v>
      </c>
      <c r="AA16" s="748" t="s">
        <v>230</v>
      </c>
      <c r="AB16" s="748"/>
      <c r="AC16" s="749" t="s">
        <v>231</v>
      </c>
      <c r="AD16" s="749"/>
      <c r="AE16" s="749"/>
      <c r="AF16" s="749"/>
      <c r="AG16" s="746" t="s">
        <v>232</v>
      </c>
      <c r="AH16" s="746"/>
      <c r="AI16" s="746"/>
      <c r="AJ16" s="746"/>
      <c r="AL16" s="22" t="s">
        <v>56</v>
      </c>
      <c r="AM16" s="17" t="s">
        <v>55</v>
      </c>
      <c r="AN16" s="17">
        <v>1</v>
      </c>
      <c r="AO16" s="17" t="s">
        <v>56</v>
      </c>
      <c r="AP16" s="17" t="s">
        <v>56</v>
      </c>
      <c r="AQ16" s="148" t="s">
        <v>57</v>
      </c>
      <c r="AS16" s="144" t="s">
        <v>66</v>
      </c>
      <c r="AT16" s="145">
        <v>40</v>
      </c>
      <c r="AV16" s="447">
        <v>1</v>
      </c>
    </row>
    <row r="17" spans="1:48" ht="24.95" customHeight="1">
      <c r="A17" s="757"/>
      <c r="B17" s="162">
        <v>2</v>
      </c>
      <c r="C17" s="70"/>
      <c r="D17" s="79"/>
      <c r="E17" s="3"/>
      <c r="F17" s="72"/>
      <c r="G17" s="159"/>
      <c r="H17" s="160"/>
      <c r="I17" s="161"/>
      <c r="J17" s="73" t="s">
        <v>6989</v>
      </c>
      <c r="K17" s="73"/>
      <c r="L17" s="73"/>
      <c r="M17" s="74"/>
      <c r="N17" s="3"/>
      <c r="O17" s="204"/>
      <c r="P17" s="3"/>
      <c r="Q17" s="204"/>
      <c r="R17" s="376"/>
      <c r="T17" s="72">
        <v>40</v>
      </c>
      <c r="U17" s="203"/>
      <c r="V17" s="159">
        <v>1.05</v>
      </c>
      <c r="W17" s="70" t="s">
        <v>613</v>
      </c>
      <c r="X17" s="38" t="s">
        <v>614</v>
      </c>
      <c r="Z17" s="750"/>
      <c r="AA17" s="748"/>
      <c r="AB17" s="748"/>
      <c r="AC17" s="749"/>
      <c r="AD17" s="749"/>
      <c r="AE17" s="749"/>
      <c r="AF17" s="749"/>
      <c r="AG17" s="746"/>
      <c r="AH17" s="746"/>
      <c r="AI17" s="746"/>
      <c r="AJ17" s="746"/>
      <c r="AL17" s="34" t="s">
        <v>75</v>
      </c>
      <c r="AM17" s="17" t="s">
        <v>55</v>
      </c>
      <c r="AN17" s="17">
        <v>250</v>
      </c>
      <c r="AO17" s="17" t="s">
        <v>56</v>
      </c>
      <c r="AP17" s="17" t="s">
        <v>54</v>
      </c>
      <c r="AQ17" s="148" t="s">
        <v>57</v>
      </c>
      <c r="AS17" s="144" t="s">
        <v>79</v>
      </c>
      <c r="AT17" s="145">
        <v>40</v>
      </c>
      <c r="AV17" s="447">
        <v>1</v>
      </c>
    </row>
    <row r="18" spans="1:48" ht="24.95" customHeight="1">
      <c r="A18" s="757"/>
      <c r="B18" s="158">
        <v>3</v>
      </c>
      <c r="C18" s="70"/>
      <c r="D18" s="79"/>
      <c r="E18" s="3"/>
      <c r="F18" s="72"/>
      <c r="G18" s="159"/>
      <c r="H18" s="160"/>
      <c r="I18" s="161"/>
      <c r="J18" s="73" t="s">
        <v>6990</v>
      </c>
      <c r="K18" s="73"/>
      <c r="L18" s="73"/>
      <c r="M18" s="74"/>
      <c r="N18" s="3"/>
      <c r="O18" s="361" t="s">
        <v>621</v>
      </c>
      <c r="P18" s="3"/>
      <c r="Q18" s="361" t="s">
        <v>622</v>
      </c>
      <c r="R18" s="376" t="s">
        <v>623</v>
      </c>
      <c r="T18" s="72">
        <v>17</v>
      </c>
      <c r="U18" s="203"/>
      <c r="V18" s="159">
        <v>1.03</v>
      </c>
      <c r="W18" s="70" t="s">
        <v>616</v>
      </c>
      <c r="X18" s="38" t="s">
        <v>617</v>
      </c>
      <c r="Z18" s="747" t="s">
        <v>492</v>
      </c>
      <c r="AA18" s="748" t="s">
        <v>241</v>
      </c>
      <c r="AB18" s="748"/>
      <c r="AC18" s="749" t="s">
        <v>242</v>
      </c>
      <c r="AD18" s="749"/>
      <c r="AE18" s="749"/>
      <c r="AF18" s="749"/>
      <c r="AG18" s="746" t="s">
        <v>243</v>
      </c>
      <c r="AH18" s="746"/>
      <c r="AI18" s="746"/>
      <c r="AJ18" s="746"/>
      <c r="AL18" s="34" t="s">
        <v>85</v>
      </c>
      <c r="AM18" s="17" t="s">
        <v>55</v>
      </c>
      <c r="AN18" s="17">
        <v>333.33333299999998</v>
      </c>
      <c r="AO18" s="17" t="s">
        <v>56</v>
      </c>
      <c r="AP18" s="17" t="s">
        <v>54</v>
      </c>
      <c r="AQ18" s="148" t="s">
        <v>57</v>
      </c>
      <c r="AS18" s="144" t="s">
        <v>93</v>
      </c>
      <c r="AT18" s="145">
        <v>36</v>
      </c>
      <c r="AV18" s="447">
        <v>1</v>
      </c>
    </row>
    <row r="19" spans="1:48" ht="24.95" customHeight="1">
      <c r="A19" s="757"/>
      <c r="B19" s="162">
        <v>4</v>
      </c>
      <c r="C19" s="70"/>
      <c r="D19" s="79"/>
      <c r="E19" s="3"/>
      <c r="F19" s="72"/>
      <c r="G19" s="159"/>
      <c r="H19" s="160"/>
      <c r="I19" s="161"/>
      <c r="J19" s="73" t="s">
        <v>6991</v>
      </c>
      <c r="K19" s="73"/>
      <c r="L19" s="73"/>
      <c r="M19" s="74"/>
      <c r="N19" s="3"/>
      <c r="O19" s="204"/>
      <c r="Q19" s="204"/>
      <c r="R19" s="376"/>
      <c r="T19" s="72">
        <v>40</v>
      </c>
      <c r="U19" s="203"/>
      <c r="V19" s="159">
        <v>1.05</v>
      </c>
      <c r="W19" s="70" t="s">
        <v>619</v>
      </c>
      <c r="X19" s="38" t="s">
        <v>620</v>
      </c>
      <c r="Z19" s="747"/>
      <c r="AA19" s="748"/>
      <c r="AB19" s="748"/>
      <c r="AC19" s="749"/>
      <c r="AD19" s="749"/>
      <c r="AE19" s="749"/>
      <c r="AF19" s="749"/>
      <c r="AG19" s="746"/>
      <c r="AH19" s="746"/>
      <c r="AI19" s="746"/>
      <c r="AJ19" s="746"/>
      <c r="AL19" s="34" t="s">
        <v>97</v>
      </c>
      <c r="AM19" s="17" t="s">
        <v>55</v>
      </c>
      <c r="AN19" s="17">
        <v>500</v>
      </c>
      <c r="AO19" s="17" t="s">
        <v>56</v>
      </c>
      <c r="AP19" s="17" t="s">
        <v>54</v>
      </c>
      <c r="AQ19" s="148" t="s">
        <v>57</v>
      </c>
      <c r="AS19" s="144" t="s">
        <v>103</v>
      </c>
      <c r="AT19" s="145">
        <v>24</v>
      </c>
      <c r="AV19" s="447">
        <v>1</v>
      </c>
    </row>
    <row r="20" spans="1:48" ht="24.95" customHeight="1">
      <c r="A20" s="757"/>
      <c r="B20" s="158">
        <v>5</v>
      </c>
      <c r="C20" s="70"/>
      <c r="D20" s="79"/>
      <c r="E20" s="3"/>
      <c r="F20" s="72"/>
      <c r="G20" s="159"/>
      <c r="H20" s="160"/>
      <c r="I20" s="161"/>
      <c r="J20" s="73" t="s">
        <v>6992</v>
      </c>
      <c r="K20" s="73"/>
      <c r="L20" s="73"/>
      <c r="M20" s="74"/>
      <c r="N20" s="3"/>
      <c r="O20" s="362" t="s">
        <v>631</v>
      </c>
      <c r="Q20" s="362" t="s">
        <v>632</v>
      </c>
      <c r="R20" s="376" t="s">
        <v>633</v>
      </c>
      <c r="T20" s="72">
        <v>25</v>
      </c>
      <c r="U20" s="203"/>
      <c r="V20" s="159">
        <v>1.05</v>
      </c>
      <c r="W20" s="70" t="s">
        <v>155</v>
      </c>
      <c r="X20" s="38" t="s">
        <v>625</v>
      </c>
      <c r="Z20" s="750" t="s">
        <v>6993</v>
      </c>
      <c r="AA20" s="748" t="s">
        <v>252</v>
      </c>
      <c r="AB20" s="748"/>
      <c r="AC20" s="749" t="s">
        <v>253</v>
      </c>
      <c r="AD20" s="749"/>
      <c r="AE20" s="749"/>
      <c r="AF20" s="749"/>
      <c r="AG20" s="746" t="s">
        <v>254</v>
      </c>
      <c r="AH20" s="746"/>
      <c r="AI20" s="746"/>
      <c r="AJ20" s="746"/>
      <c r="AL20" s="53" t="s">
        <v>104</v>
      </c>
      <c r="AM20" s="17" t="s">
        <v>21</v>
      </c>
      <c r="AN20" s="17">
        <v>5</v>
      </c>
      <c r="AO20" s="17" t="s">
        <v>22</v>
      </c>
      <c r="AP20" s="17" t="s">
        <v>107</v>
      </c>
      <c r="AQ20" s="153" t="s">
        <v>108</v>
      </c>
      <c r="AS20" s="144" t="s">
        <v>109</v>
      </c>
      <c r="AT20" s="145">
        <v>24</v>
      </c>
      <c r="AV20" s="447">
        <v>1</v>
      </c>
    </row>
    <row r="21" spans="1:48" ht="24.95" customHeight="1">
      <c r="A21" s="757"/>
      <c r="B21" s="162"/>
      <c r="C21" s="70"/>
      <c r="D21" s="79"/>
      <c r="E21" s="3"/>
      <c r="F21" s="72"/>
      <c r="G21" s="159"/>
      <c r="H21" s="160"/>
      <c r="I21" s="161"/>
      <c r="J21" s="73" t="s">
        <v>243</v>
      </c>
      <c r="K21" s="73"/>
      <c r="L21" s="73"/>
      <c r="M21" s="74"/>
      <c r="N21" s="3"/>
      <c r="O21" s="204"/>
      <c r="Q21" s="204"/>
      <c r="R21" s="376"/>
      <c r="T21" s="72">
        <v>25</v>
      </c>
      <c r="U21" s="203"/>
      <c r="V21" s="159">
        <v>1.05</v>
      </c>
      <c r="W21" s="70" t="s">
        <v>627</v>
      </c>
      <c r="X21" s="38" t="s">
        <v>628</v>
      </c>
      <c r="Z21" s="750"/>
      <c r="AA21" s="748"/>
      <c r="AB21" s="748"/>
      <c r="AC21" s="749"/>
      <c r="AD21" s="749"/>
      <c r="AE21" s="749"/>
      <c r="AF21" s="749"/>
      <c r="AG21" s="746"/>
      <c r="AH21" s="746"/>
      <c r="AI21" s="746"/>
      <c r="AJ21" s="746"/>
      <c r="AL21" s="53" t="s">
        <v>112</v>
      </c>
      <c r="AM21" s="17" t="s">
        <v>21</v>
      </c>
      <c r="AN21" s="17">
        <v>5</v>
      </c>
      <c r="AO21" s="17" t="s">
        <v>22</v>
      </c>
      <c r="AP21" s="17" t="s">
        <v>115</v>
      </c>
      <c r="AQ21" s="153" t="s">
        <v>108</v>
      </c>
      <c r="AS21" s="144" t="s">
        <v>116</v>
      </c>
      <c r="AT21" s="145">
        <v>50</v>
      </c>
      <c r="AV21" s="447">
        <v>1</v>
      </c>
    </row>
    <row r="22" spans="1:48" ht="24.95" customHeight="1">
      <c r="A22" s="757"/>
      <c r="B22" s="158"/>
      <c r="C22" s="70"/>
      <c r="D22" s="79"/>
      <c r="E22" s="3"/>
      <c r="F22" s="72"/>
      <c r="G22" s="159"/>
      <c r="H22" s="160"/>
      <c r="I22" s="161"/>
      <c r="J22" s="73" t="s">
        <v>6995</v>
      </c>
      <c r="K22" s="73"/>
      <c r="L22" s="73"/>
      <c r="M22" s="74"/>
      <c r="N22" s="3"/>
      <c r="O22" s="363" t="s">
        <v>640</v>
      </c>
      <c r="Q22" s="363" t="s">
        <v>641</v>
      </c>
      <c r="R22" s="376" t="s">
        <v>642</v>
      </c>
      <c r="T22" s="72">
        <v>15</v>
      </c>
      <c r="U22" s="203"/>
      <c r="V22" s="159">
        <v>1.02</v>
      </c>
      <c r="W22" s="70" t="s">
        <v>630</v>
      </c>
      <c r="X22" s="38" t="s">
        <v>628</v>
      </c>
      <c r="Z22" s="171" t="s">
        <v>261</v>
      </c>
      <c r="AA22" s="172"/>
      <c r="AB22" s="165"/>
      <c r="AC22" s="165"/>
      <c r="AD22" s="165"/>
      <c r="AE22" s="165"/>
      <c r="AF22" s="165"/>
      <c r="AG22" s="165"/>
      <c r="AH22" s="165"/>
      <c r="AI22" s="165"/>
      <c r="AJ22" s="165"/>
      <c r="AL22" s="53" t="s">
        <v>117</v>
      </c>
      <c r="AM22" s="17" t="s">
        <v>21</v>
      </c>
      <c r="AN22" s="17">
        <v>15</v>
      </c>
      <c r="AO22" s="17" t="s">
        <v>22</v>
      </c>
      <c r="AP22" s="17" t="s">
        <v>119</v>
      </c>
      <c r="AQ22" s="153" t="s">
        <v>108</v>
      </c>
      <c r="AS22" s="144" t="s">
        <v>120</v>
      </c>
      <c r="AT22" s="145">
        <v>50</v>
      </c>
      <c r="AV22" s="447">
        <v>1</v>
      </c>
    </row>
    <row r="23" spans="1:48" ht="24.95" customHeight="1">
      <c r="A23" s="757"/>
      <c r="B23" s="14" t="s">
        <v>44</v>
      </c>
      <c r="C23" s="146" t="s">
        <v>198</v>
      </c>
      <c r="D23" s="89"/>
      <c r="E23" s="89"/>
      <c r="F23" s="89"/>
      <c r="G23" s="89"/>
      <c r="H23" s="89"/>
      <c r="I23" s="89"/>
      <c r="J23" s="89" t="s">
        <v>6996</v>
      </c>
      <c r="K23" s="89"/>
      <c r="L23" s="89"/>
      <c r="M23" s="90"/>
      <c r="N23" s="3"/>
      <c r="O23" s="204"/>
      <c r="Q23" s="204"/>
      <c r="R23" s="376"/>
      <c r="T23" s="72">
        <v>35</v>
      </c>
      <c r="U23" s="203"/>
      <c r="V23" s="159">
        <v>1.04</v>
      </c>
      <c r="W23" s="70" t="s">
        <v>635</v>
      </c>
      <c r="X23" s="38" t="s">
        <v>636</v>
      </c>
      <c r="Z23" s="172" t="s">
        <v>264</v>
      </c>
      <c r="AA23" s="172"/>
      <c r="AB23" s="165"/>
      <c r="AC23" s="172"/>
      <c r="AD23" s="165"/>
      <c r="AE23" s="165"/>
      <c r="AF23" s="165"/>
      <c r="AG23" s="172"/>
      <c r="AH23" s="165"/>
      <c r="AI23" s="165"/>
      <c r="AJ23" s="165"/>
      <c r="AL23" s="53" t="s">
        <v>488</v>
      </c>
      <c r="AM23" s="17" t="s">
        <v>127</v>
      </c>
      <c r="AN23" s="17">
        <v>1</v>
      </c>
      <c r="AO23" s="17" t="s">
        <v>128</v>
      </c>
      <c r="AP23" s="17" t="s">
        <v>489</v>
      </c>
      <c r="AQ23" s="153" t="s">
        <v>139</v>
      </c>
      <c r="AS23" s="144" t="s">
        <v>130</v>
      </c>
      <c r="AT23" s="145">
        <v>21.5</v>
      </c>
      <c r="AV23" s="447">
        <v>1</v>
      </c>
    </row>
    <row r="24" spans="1:48" ht="24.95" customHeight="1">
      <c r="A24" s="757"/>
      <c r="B24" s="91">
        <v>0</v>
      </c>
      <c r="C24" s="10" t="s">
        <v>491</v>
      </c>
      <c r="D24" s="11"/>
      <c r="E24" s="11"/>
      <c r="F24" s="11"/>
      <c r="G24" s="11"/>
      <c r="H24" s="11"/>
      <c r="I24" s="11"/>
      <c r="J24" s="11"/>
      <c r="K24" s="11"/>
      <c r="L24" s="11"/>
      <c r="M24" s="92"/>
      <c r="N24" s="3"/>
      <c r="O24" s="357" t="s">
        <v>651</v>
      </c>
      <c r="Q24" s="357" t="s">
        <v>652</v>
      </c>
      <c r="R24" s="376" t="s">
        <v>653</v>
      </c>
      <c r="T24" s="72">
        <v>40</v>
      </c>
      <c r="U24" s="203"/>
      <c r="V24" s="159">
        <v>0.94</v>
      </c>
      <c r="W24" s="70" t="s">
        <v>637</v>
      </c>
      <c r="X24" s="38" t="s">
        <v>595</v>
      </c>
      <c r="Z24" s="172" t="s">
        <v>269</v>
      </c>
      <c r="AA24" s="172"/>
      <c r="AB24" s="173"/>
      <c r="AC24" s="173"/>
      <c r="AD24" s="165"/>
      <c r="AE24" s="165"/>
      <c r="AF24" s="165"/>
      <c r="AG24" s="165"/>
      <c r="AH24" s="165"/>
      <c r="AI24" s="165"/>
      <c r="AJ24" s="165"/>
      <c r="AL24" s="53" t="s">
        <v>133</v>
      </c>
      <c r="AM24" s="17" t="s">
        <v>127</v>
      </c>
      <c r="AN24" s="17">
        <v>1</v>
      </c>
      <c r="AO24" s="17" t="s">
        <v>128</v>
      </c>
      <c r="AP24" s="17" t="s">
        <v>138</v>
      </c>
      <c r="AQ24" s="157" t="s">
        <v>139</v>
      </c>
      <c r="AS24" s="144" t="s">
        <v>140</v>
      </c>
      <c r="AT24" s="145">
        <v>20</v>
      </c>
      <c r="AV24" s="447">
        <v>1</v>
      </c>
    </row>
    <row r="25" spans="1:48" ht="24.95" customHeight="1">
      <c r="A25" s="757"/>
      <c r="B25" s="95">
        <v>1</v>
      </c>
      <c r="C25" s="96" t="s">
        <v>7268</v>
      </c>
      <c r="D25" s="96"/>
      <c r="E25" s="96"/>
      <c r="F25" s="96"/>
      <c r="G25" s="96"/>
      <c r="H25" s="96"/>
      <c r="I25" s="96"/>
      <c r="J25" s="96"/>
      <c r="K25" s="96"/>
      <c r="L25" s="96"/>
      <c r="M25" s="74"/>
      <c r="N25" s="3"/>
      <c r="O25" s="375"/>
      <c r="Q25" s="375"/>
      <c r="R25" s="376"/>
      <c r="T25" s="72">
        <v>40</v>
      </c>
      <c r="U25" s="203"/>
      <c r="V25" s="159">
        <v>0.96</v>
      </c>
      <c r="W25" s="70" t="s">
        <v>639</v>
      </c>
      <c r="X25" s="38" t="s">
        <v>595</v>
      </c>
      <c r="Z25" s="168" t="s">
        <v>274</v>
      </c>
      <c r="AA25" s="165"/>
      <c r="AB25" s="173"/>
      <c r="AC25" s="173"/>
      <c r="AD25" s="165"/>
      <c r="AE25" s="165"/>
      <c r="AF25" s="165"/>
      <c r="AG25" s="165"/>
      <c r="AH25" s="165"/>
      <c r="AI25" s="165"/>
      <c r="AJ25" s="165"/>
      <c r="AL25" s="53" t="s">
        <v>151</v>
      </c>
      <c r="AM25" s="17" t="s">
        <v>127</v>
      </c>
      <c r="AN25" s="17">
        <v>1</v>
      </c>
      <c r="AO25" s="17" t="s">
        <v>128</v>
      </c>
      <c r="AP25" s="17" t="s">
        <v>138</v>
      </c>
      <c r="AQ25" s="157" t="s">
        <v>139</v>
      </c>
      <c r="AS25" s="144" t="s">
        <v>154</v>
      </c>
      <c r="AT25" s="145">
        <v>18</v>
      </c>
      <c r="AV25" s="447">
        <v>1</v>
      </c>
    </row>
    <row r="26" spans="1:48" ht="24.95" customHeight="1">
      <c r="A26" s="757"/>
      <c r="B26" s="95">
        <v>2</v>
      </c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74"/>
      <c r="N26" s="3"/>
      <c r="O26" s="364" t="s">
        <v>661</v>
      </c>
      <c r="Q26" s="364" t="s">
        <v>662</v>
      </c>
      <c r="R26" s="376" t="s">
        <v>663</v>
      </c>
      <c r="T26" s="72">
        <v>30</v>
      </c>
      <c r="U26" s="203"/>
      <c r="V26" s="159">
        <v>1.04</v>
      </c>
      <c r="W26" s="70" t="s">
        <v>644</v>
      </c>
      <c r="X26" s="38" t="s">
        <v>645</v>
      </c>
      <c r="Z26" s="168" t="s">
        <v>278</v>
      </c>
      <c r="AA26" s="172"/>
      <c r="AB26" s="173"/>
      <c r="AC26" s="173"/>
      <c r="AD26" s="165"/>
      <c r="AE26" s="165"/>
      <c r="AF26" s="165"/>
      <c r="AG26" s="165"/>
      <c r="AH26" s="165"/>
      <c r="AI26" s="165"/>
      <c r="AJ26" s="165"/>
      <c r="AL26" s="53" t="s">
        <v>157</v>
      </c>
      <c r="AM26" s="17" t="s">
        <v>127</v>
      </c>
      <c r="AN26" s="17">
        <v>1</v>
      </c>
      <c r="AO26" s="17" t="s">
        <v>128</v>
      </c>
      <c r="AP26" s="17" t="s">
        <v>174</v>
      </c>
      <c r="AQ26" s="157" t="s">
        <v>139</v>
      </c>
      <c r="AS26" s="144" t="s">
        <v>175</v>
      </c>
      <c r="AT26" s="145">
        <v>35</v>
      </c>
      <c r="AV26" s="447">
        <v>1</v>
      </c>
    </row>
    <row r="27" spans="1:48" ht="24.95" customHeight="1">
      <c r="A27" s="757"/>
      <c r="B27" s="95">
        <v>3</v>
      </c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74"/>
      <c r="N27" s="3"/>
      <c r="O27" s="375"/>
      <c r="Q27" s="375"/>
      <c r="R27" s="376"/>
      <c r="T27" s="72">
        <v>30</v>
      </c>
      <c r="U27" s="203"/>
      <c r="V27" s="159">
        <v>1.04</v>
      </c>
      <c r="W27" s="70" t="s">
        <v>647</v>
      </c>
      <c r="X27" s="38" t="s">
        <v>620</v>
      </c>
      <c r="Z27" s="168" t="s">
        <v>281</v>
      </c>
      <c r="AA27" s="172"/>
      <c r="AB27" s="173"/>
      <c r="AC27" s="173"/>
      <c r="AD27" s="165"/>
      <c r="AE27" s="165"/>
      <c r="AF27" s="165"/>
      <c r="AG27" s="165"/>
      <c r="AH27" s="165"/>
      <c r="AI27" s="165"/>
      <c r="AJ27" s="165"/>
      <c r="AL27" s="53" t="s">
        <v>177</v>
      </c>
      <c r="AM27" s="17" t="s">
        <v>127</v>
      </c>
      <c r="AN27" s="17">
        <v>1</v>
      </c>
      <c r="AO27" s="17" t="s">
        <v>128</v>
      </c>
      <c r="AP27" s="17" t="s">
        <v>178</v>
      </c>
      <c r="AQ27" s="157" t="s">
        <v>139</v>
      </c>
      <c r="AS27" s="144" t="s">
        <v>179</v>
      </c>
      <c r="AT27" s="145">
        <v>15</v>
      </c>
      <c r="AV27" s="447">
        <v>1</v>
      </c>
    </row>
    <row r="28" spans="1:48" ht="24.95" customHeight="1">
      <c r="A28" s="757"/>
      <c r="B28" s="95">
        <v>4</v>
      </c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74"/>
      <c r="N28" s="3"/>
      <c r="O28" s="364" t="s">
        <v>670</v>
      </c>
      <c r="Q28" s="364" t="s">
        <v>671</v>
      </c>
      <c r="R28" s="376" t="s">
        <v>672</v>
      </c>
      <c r="T28" s="72">
        <v>40</v>
      </c>
      <c r="U28" s="203"/>
      <c r="V28" s="159">
        <v>0.94</v>
      </c>
      <c r="W28" s="70" t="s">
        <v>649</v>
      </c>
      <c r="X28" s="38" t="s">
        <v>650</v>
      </c>
      <c r="Z28" s="168" t="s">
        <v>286</v>
      </c>
      <c r="AA28" s="172"/>
      <c r="AB28" s="173"/>
      <c r="AC28" s="173"/>
      <c r="AD28" s="165"/>
      <c r="AE28" s="165"/>
      <c r="AF28" s="165"/>
      <c r="AG28" s="165"/>
      <c r="AH28" s="165"/>
      <c r="AI28" s="165"/>
      <c r="AJ28" s="165"/>
      <c r="AL28" s="53" t="s">
        <v>181</v>
      </c>
      <c r="AM28" s="17" t="s">
        <v>127</v>
      </c>
      <c r="AN28" s="17">
        <v>1</v>
      </c>
      <c r="AO28" s="17" t="s">
        <v>128</v>
      </c>
      <c r="AP28" s="17" t="s">
        <v>182</v>
      </c>
      <c r="AQ28" s="157" t="s">
        <v>139</v>
      </c>
      <c r="AS28" s="144" t="s">
        <v>183</v>
      </c>
      <c r="AT28" s="145">
        <v>57</v>
      </c>
      <c r="AV28" s="447">
        <v>1</v>
      </c>
    </row>
    <row r="29" spans="1:48" ht="24.95" customHeight="1">
      <c r="A29" s="757"/>
      <c r="B29" s="95">
        <v>5</v>
      </c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74"/>
      <c r="N29" s="3"/>
      <c r="O29" s="375"/>
      <c r="Q29" s="375"/>
      <c r="R29" s="376"/>
      <c r="T29" s="72">
        <v>25</v>
      </c>
      <c r="U29" s="203"/>
      <c r="V29" s="159">
        <v>1.05</v>
      </c>
      <c r="W29" s="70" t="s">
        <v>655</v>
      </c>
      <c r="X29" s="38" t="s">
        <v>625</v>
      </c>
      <c r="Z29" s="172" t="s">
        <v>289</v>
      </c>
      <c r="AA29" s="172"/>
      <c r="AB29" s="173"/>
      <c r="AC29" s="173"/>
      <c r="AD29" s="165"/>
      <c r="AE29" s="165"/>
      <c r="AF29" s="165"/>
      <c r="AG29" s="165"/>
      <c r="AH29" s="165"/>
      <c r="AI29" s="165"/>
      <c r="AJ29" s="165"/>
      <c r="AL29" s="53" t="s">
        <v>185</v>
      </c>
      <c r="AM29" s="17" t="s">
        <v>127</v>
      </c>
      <c r="AN29" s="17">
        <v>1</v>
      </c>
      <c r="AO29" s="17" t="s">
        <v>128</v>
      </c>
      <c r="AP29" s="17" t="s">
        <v>186</v>
      </c>
      <c r="AQ29" s="157" t="s">
        <v>139</v>
      </c>
      <c r="AS29" s="144" t="s">
        <v>187</v>
      </c>
      <c r="AT29" s="145">
        <v>47</v>
      </c>
      <c r="AV29" s="447">
        <v>1</v>
      </c>
    </row>
    <row r="30" spans="1:48" ht="24.95" customHeight="1">
      <c r="A30" s="757"/>
      <c r="B30" s="95">
        <v>6</v>
      </c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74"/>
      <c r="N30" s="3"/>
      <c r="O30" s="364" t="s">
        <v>683</v>
      </c>
      <c r="Q30" s="364" t="s">
        <v>684</v>
      </c>
      <c r="R30" s="376" t="s">
        <v>685</v>
      </c>
      <c r="T30" s="72">
        <v>20</v>
      </c>
      <c r="U30" s="203"/>
      <c r="V30" s="159">
        <v>1.25</v>
      </c>
      <c r="W30" s="70" t="s">
        <v>657</v>
      </c>
      <c r="X30" s="38" t="s">
        <v>636</v>
      </c>
      <c r="Z30" s="178" t="s">
        <v>292</v>
      </c>
      <c r="AA30" s="172"/>
      <c r="AB30" s="173"/>
      <c r="AC30" s="173"/>
      <c r="AD30" s="165"/>
      <c r="AE30" s="165"/>
      <c r="AF30" s="165"/>
      <c r="AG30" s="165"/>
      <c r="AH30" s="165"/>
      <c r="AI30" s="165"/>
      <c r="AJ30" s="165"/>
      <c r="AL30" s="53" t="s">
        <v>189</v>
      </c>
      <c r="AM30" s="17" t="s">
        <v>127</v>
      </c>
      <c r="AN30" s="17">
        <v>1</v>
      </c>
      <c r="AO30" s="17" t="s">
        <v>128</v>
      </c>
      <c r="AP30" s="17" t="s">
        <v>190</v>
      </c>
      <c r="AQ30" s="157" t="s">
        <v>139</v>
      </c>
      <c r="AS30" s="144" t="s">
        <v>191</v>
      </c>
      <c r="AT30" s="145">
        <v>40</v>
      </c>
      <c r="AV30" s="447">
        <v>1</v>
      </c>
    </row>
    <row r="31" spans="1:48" ht="24.95" customHeight="1">
      <c r="A31" s="757"/>
      <c r="B31" s="95">
        <v>7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74"/>
      <c r="N31" s="3"/>
      <c r="O31" s="375"/>
      <c r="Q31" s="375"/>
      <c r="R31" s="376"/>
      <c r="T31" s="72">
        <v>55</v>
      </c>
      <c r="U31" s="203"/>
      <c r="V31" s="159">
        <v>1.05</v>
      </c>
      <c r="W31" s="70" t="s">
        <v>659</v>
      </c>
      <c r="X31" s="38" t="s">
        <v>660</v>
      </c>
      <c r="Z31" s="178" t="s">
        <v>295</v>
      </c>
      <c r="AA31" s="172"/>
      <c r="AB31" s="173"/>
      <c r="AC31" s="173"/>
      <c r="AD31" s="165"/>
      <c r="AE31" s="165"/>
      <c r="AF31" s="165"/>
      <c r="AG31" s="165"/>
      <c r="AH31" s="165"/>
      <c r="AI31" s="165"/>
      <c r="AJ31" s="165"/>
      <c r="AL31" s="53" t="s">
        <v>192</v>
      </c>
      <c r="AM31" s="17" t="s">
        <v>127</v>
      </c>
      <c r="AN31" s="17">
        <v>1</v>
      </c>
      <c r="AO31" s="17" t="s">
        <v>128</v>
      </c>
      <c r="AP31" s="17" t="s">
        <v>193</v>
      </c>
      <c r="AQ31" s="157" t="s">
        <v>139</v>
      </c>
      <c r="AS31" s="144" t="s">
        <v>194</v>
      </c>
      <c r="AT31" s="145">
        <v>3</v>
      </c>
      <c r="AV31" s="447">
        <v>1</v>
      </c>
    </row>
    <row r="32" spans="1:48" ht="24.95" customHeight="1">
      <c r="A32" s="757"/>
      <c r="B32" s="95">
        <v>8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74"/>
      <c r="N32" s="3"/>
      <c r="O32" s="364" t="s">
        <v>690</v>
      </c>
      <c r="Q32" s="364" t="s">
        <v>691</v>
      </c>
      <c r="R32" s="376" t="s">
        <v>692</v>
      </c>
      <c r="T32" s="72">
        <v>25</v>
      </c>
      <c r="U32" s="203"/>
      <c r="V32" s="159">
        <v>1.03</v>
      </c>
      <c r="W32" s="70" t="s">
        <v>665</v>
      </c>
      <c r="X32" s="38" t="s">
        <v>666</v>
      </c>
      <c r="Z32" s="172" t="s">
        <v>298</v>
      </c>
      <c r="AA32" s="172"/>
      <c r="AB32" s="173"/>
      <c r="AC32" s="173"/>
      <c r="AD32" s="165"/>
      <c r="AE32" s="165"/>
      <c r="AF32" s="165"/>
      <c r="AG32" s="165"/>
      <c r="AH32" s="165"/>
      <c r="AI32" s="165"/>
      <c r="AJ32" s="165"/>
      <c r="AL32" s="53" t="s">
        <v>195</v>
      </c>
      <c r="AM32" s="17" t="s">
        <v>127</v>
      </c>
      <c r="AN32" s="17">
        <v>1</v>
      </c>
      <c r="AO32" s="17" t="s">
        <v>128</v>
      </c>
      <c r="AP32" s="17" t="s">
        <v>196</v>
      </c>
      <c r="AQ32" s="157" t="s">
        <v>139</v>
      </c>
      <c r="AS32" s="144" t="s">
        <v>197</v>
      </c>
      <c r="AT32" s="145">
        <v>4.5</v>
      </c>
      <c r="AV32" s="447">
        <v>1</v>
      </c>
    </row>
    <row r="33" spans="1:48" ht="24.95" customHeight="1">
      <c r="A33" s="757"/>
      <c r="B33" s="101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  <c r="N33" s="3"/>
      <c r="O33" s="375"/>
      <c r="Q33" s="375"/>
      <c r="R33" s="376"/>
      <c r="T33" s="72">
        <v>25</v>
      </c>
      <c r="U33" s="203"/>
      <c r="V33" s="159">
        <v>1.04</v>
      </c>
      <c r="W33" s="70" t="s">
        <v>665</v>
      </c>
      <c r="X33" s="38" t="s">
        <v>628</v>
      </c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L33" s="53" t="s">
        <v>199</v>
      </c>
      <c r="AM33" s="17" t="s">
        <v>127</v>
      </c>
      <c r="AN33" s="17">
        <v>1</v>
      </c>
      <c r="AO33" s="17" t="s">
        <v>128</v>
      </c>
      <c r="AP33" s="17" t="s">
        <v>200</v>
      </c>
      <c r="AQ33" s="157" t="s">
        <v>139</v>
      </c>
      <c r="AS33" s="144" t="s">
        <v>201</v>
      </c>
      <c r="AT33" s="145">
        <v>30</v>
      </c>
      <c r="AV33" s="447">
        <v>1</v>
      </c>
    </row>
    <row r="34" spans="1:48" ht="24.95" customHeight="1">
      <c r="A34" s="757"/>
      <c r="B34" s="10" t="s">
        <v>258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92"/>
      <c r="N34" s="3"/>
      <c r="O34" s="365" t="s">
        <v>696</v>
      </c>
      <c r="Q34" s="365" t="s">
        <v>697</v>
      </c>
      <c r="R34" s="379" t="s">
        <v>698</v>
      </c>
      <c r="T34" s="72">
        <v>15</v>
      </c>
      <c r="U34" s="203"/>
      <c r="V34" s="159">
        <v>1.02</v>
      </c>
      <c r="W34" s="70" t="s">
        <v>669</v>
      </c>
      <c r="X34" s="38" t="s">
        <v>595</v>
      </c>
      <c r="Z34" s="736" t="s">
        <v>546</v>
      </c>
      <c r="AA34" s="737"/>
      <c r="AB34" s="737"/>
      <c r="AC34" s="738"/>
      <c r="AD34" s="3"/>
      <c r="AE34" s="3"/>
      <c r="AF34" s="3"/>
      <c r="AG34" s="3"/>
      <c r="AH34" s="3"/>
      <c r="AI34" s="3"/>
      <c r="AJ34" s="3"/>
      <c r="AL34" s="53" t="s">
        <v>202</v>
      </c>
      <c r="AM34" s="17" t="s">
        <v>127</v>
      </c>
      <c r="AN34" s="17">
        <v>1</v>
      </c>
      <c r="AO34" s="17" t="s">
        <v>128</v>
      </c>
      <c r="AP34" s="17" t="s">
        <v>204</v>
      </c>
      <c r="AQ34" s="157" t="s">
        <v>139</v>
      </c>
      <c r="AS34" s="144" t="s">
        <v>205</v>
      </c>
      <c r="AT34" s="145">
        <v>20</v>
      </c>
      <c r="AV34" s="447">
        <v>1</v>
      </c>
    </row>
    <row r="35" spans="1:48" ht="24.95" customHeight="1">
      <c r="A35" s="757"/>
      <c r="B35" s="102" t="s">
        <v>259</v>
      </c>
      <c r="C35" s="73" t="s">
        <v>7269</v>
      </c>
      <c r="D35" s="73"/>
      <c r="E35" s="73"/>
      <c r="F35" s="73"/>
      <c r="G35" s="73"/>
      <c r="H35" s="73"/>
      <c r="I35" s="73"/>
      <c r="J35" s="73"/>
      <c r="K35" s="73"/>
      <c r="L35" s="73"/>
      <c r="M35" s="74"/>
      <c r="N35" s="3"/>
      <c r="O35" s="375"/>
      <c r="Q35" s="375"/>
      <c r="R35" s="376"/>
      <c r="T35" s="72">
        <v>40</v>
      </c>
      <c r="U35" s="203"/>
      <c r="V35" s="159">
        <v>0.94</v>
      </c>
      <c r="W35" s="70" t="s">
        <v>674</v>
      </c>
      <c r="X35" s="38" t="s">
        <v>576</v>
      </c>
      <c r="Z35" s="195" t="s">
        <v>549</v>
      </c>
      <c r="AA35" s="196"/>
      <c r="AB35" s="196"/>
      <c r="AC35" s="196"/>
      <c r="AD35" s="3"/>
      <c r="AE35" s="3"/>
      <c r="AF35" s="3"/>
      <c r="AG35" s="3"/>
      <c r="AH35" s="3"/>
      <c r="AI35" s="3"/>
      <c r="AJ35" s="3"/>
      <c r="AL35" s="53" t="s">
        <v>207</v>
      </c>
      <c r="AM35" s="17" t="s">
        <v>127</v>
      </c>
      <c r="AN35" s="17">
        <v>1</v>
      </c>
      <c r="AO35" s="17" t="s">
        <v>128</v>
      </c>
      <c r="AP35" s="17" t="s">
        <v>210</v>
      </c>
      <c r="AQ35" s="157" t="s">
        <v>139</v>
      </c>
      <c r="AS35" s="144" t="s">
        <v>211</v>
      </c>
      <c r="AT35" s="145">
        <v>25</v>
      </c>
      <c r="AV35" s="447">
        <v>1</v>
      </c>
    </row>
    <row r="36" spans="1:48" ht="24.95" customHeight="1">
      <c r="A36" s="757"/>
      <c r="B36" s="102" t="s">
        <v>262</v>
      </c>
      <c r="C36" s="73" t="s">
        <v>7270</v>
      </c>
      <c r="D36" s="73"/>
      <c r="E36" s="73"/>
      <c r="F36" s="73"/>
      <c r="G36" s="73"/>
      <c r="H36" s="73"/>
      <c r="I36" s="73"/>
      <c r="J36" s="73"/>
      <c r="K36" s="73"/>
      <c r="L36" s="73"/>
      <c r="M36" s="74"/>
      <c r="N36" s="3"/>
      <c r="O36" s="359" t="s">
        <v>702</v>
      </c>
      <c r="Q36" s="359" t="s">
        <v>578</v>
      </c>
      <c r="R36" s="377" t="s">
        <v>579</v>
      </c>
      <c r="T36" s="72">
        <v>40</v>
      </c>
      <c r="U36" s="203"/>
      <c r="V36" s="159">
        <v>1.04</v>
      </c>
      <c r="W36" s="70" t="s">
        <v>677</v>
      </c>
      <c r="X36" s="38" t="s">
        <v>678</v>
      </c>
      <c r="Z36" s="197" t="s">
        <v>551</v>
      </c>
      <c r="AA36" s="196"/>
      <c r="AB36" s="196"/>
      <c r="AC36" s="196"/>
      <c r="AD36" s="3"/>
      <c r="AE36" s="3"/>
      <c r="AF36" s="3"/>
      <c r="AG36" s="3"/>
      <c r="AH36" s="3"/>
      <c r="AI36" s="3"/>
      <c r="AJ36" s="3"/>
      <c r="AL36" s="53" t="s">
        <v>213</v>
      </c>
      <c r="AM36" s="17" t="s">
        <v>127</v>
      </c>
      <c r="AN36" s="17">
        <v>1</v>
      </c>
      <c r="AO36" s="17" t="s">
        <v>128</v>
      </c>
      <c r="AP36" s="17" t="s">
        <v>215</v>
      </c>
      <c r="AQ36" s="157" t="s">
        <v>139</v>
      </c>
      <c r="AS36" s="144" t="s">
        <v>216</v>
      </c>
      <c r="AT36" s="145">
        <v>30</v>
      </c>
      <c r="AV36" s="447">
        <v>1</v>
      </c>
    </row>
    <row r="37" spans="1:48" ht="24.95" customHeight="1">
      <c r="A37" s="757"/>
      <c r="B37" s="104" t="s">
        <v>267</v>
      </c>
      <c r="C37" s="105" t="s">
        <v>124</v>
      </c>
      <c r="D37" s="73"/>
      <c r="E37" s="73"/>
      <c r="F37" s="73"/>
      <c r="G37" s="73"/>
      <c r="H37" s="73"/>
      <c r="I37" s="73"/>
      <c r="J37" s="73"/>
      <c r="K37" s="73"/>
      <c r="L37" s="73"/>
      <c r="M37" s="74"/>
      <c r="N37" s="3"/>
      <c r="O37" s="375"/>
      <c r="Q37" s="375"/>
      <c r="R37" s="376"/>
      <c r="S37" s="3"/>
      <c r="T37" s="72">
        <v>30</v>
      </c>
      <c r="U37" s="203"/>
      <c r="V37" s="159">
        <v>1.04</v>
      </c>
      <c r="W37" s="70" t="s">
        <v>681</v>
      </c>
      <c r="X37" s="38" t="s">
        <v>682</v>
      </c>
      <c r="Y37" s="3"/>
      <c r="Z37" s="195" t="s">
        <v>553</v>
      </c>
      <c r="AA37" s="196"/>
      <c r="AB37" s="196"/>
      <c r="AC37" s="196"/>
      <c r="AD37" s="3"/>
      <c r="AE37" s="3"/>
      <c r="AF37" s="3"/>
      <c r="AG37" s="3"/>
      <c r="AH37" s="3"/>
      <c r="AI37" s="3"/>
      <c r="AJ37" s="3"/>
      <c r="AL37" s="53" t="s">
        <v>218</v>
      </c>
      <c r="AM37" s="17" t="s">
        <v>127</v>
      </c>
      <c r="AN37" s="17">
        <v>1</v>
      </c>
      <c r="AO37" s="17" t="s">
        <v>128</v>
      </c>
      <c r="AP37" s="17" t="s">
        <v>220</v>
      </c>
      <c r="AQ37" s="157" t="s">
        <v>139</v>
      </c>
      <c r="AS37" s="144" t="s">
        <v>83</v>
      </c>
      <c r="AT37" s="145">
        <v>25</v>
      </c>
      <c r="AV37" s="447">
        <v>1</v>
      </c>
    </row>
    <row r="38" spans="1:48" ht="24.95" customHeight="1">
      <c r="A38" s="758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7" t="s">
        <v>272</v>
      </c>
      <c r="N38" s="3"/>
      <c r="O38" s="366" t="s">
        <v>708</v>
      </c>
      <c r="Q38" s="366" t="s">
        <v>709</v>
      </c>
      <c r="R38" s="376" t="s">
        <v>710</v>
      </c>
      <c r="S38" s="3"/>
      <c r="T38" s="72">
        <v>25</v>
      </c>
      <c r="U38" s="203"/>
      <c r="V38" s="159">
        <v>1.05</v>
      </c>
      <c r="W38" s="70" t="s">
        <v>686</v>
      </c>
      <c r="X38" s="38" t="s">
        <v>576</v>
      </c>
      <c r="Y38" s="3"/>
      <c r="Z38" s="197" t="s">
        <v>554</v>
      </c>
      <c r="AA38" s="196"/>
      <c r="AB38" s="196"/>
      <c r="AC38" s="196"/>
      <c r="AD38" s="3"/>
      <c r="AE38" s="3"/>
      <c r="AF38" s="3"/>
      <c r="AG38" s="3"/>
      <c r="AH38" s="3"/>
      <c r="AI38" s="3"/>
      <c r="AJ38" s="3"/>
      <c r="AL38" s="53" t="s">
        <v>184</v>
      </c>
      <c r="AM38" s="17" t="s">
        <v>127</v>
      </c>
      <c r="AN38" s="17">
        <v>1</v>
      </c>
      <c r="AO38" s="17" t="s">
        <v>128</v>
      </c>
      <c r="AP38" s="17" t="s">
        <v>226</v>
      </c>
      <c r="AQ38" s="157" t="s">
        <v>139</v>
      </c>
      <c r="AS38" s="144" t="s">
        <v>227</v>
      </c>
      <c r="AT38" s="145">
        <v>6</v>
      </c>
      <c r="AV38" s="447">
        <v>1</v>
      </c>
    </row>
    <row r="39" spans="1:48" ht="24.95" customHeight="1">
      <c r="N39" s="3"/>
      <c r="O39" s="375"/>
      <c r="Q39" s="375"/>
      <c r="R39" s="376"/>
      <c r="S39" s="3"/>
      <c r="T39" s="72">
        <v>25</v>
      </c>
      <c r="U39" s="203"/>
      <c r="V39" s="159">
        <v>1.05</v>
      </c>
      <c r="W39" s="70" t="s">
        <v>687</v>
      </c>
      <c r="X39" s="38" t="s">
        <v>645</v>
      </c>
      <c r="Y39" s="3"/>
      <c r="Z39" s="198" t="s">
        <v>555</v>
      </c>
      <c r="AA39" s="196"/>
      <c r="AB39" s="196"/>
      <c r="AC39" s="196"/>
      <c r="AD39" s="3"/>
      <c r="AE39" s="3"/>
      <c r="AF39" s="3"/>
      <c r="AG39" s="3"/>
      <c r="AH39" s="3"/>
      <c r="AI39" s="3"/>
      <c r="AJ39" s="3"/>
      <c r="AL39" s="53" t="s">
        <v>229</v>
      </c>
      <c r="AM39" s="17" t="s">
        <v>127</v>
      </c>
      <c r="AN39" s="17">
        <v>1</v>
      </c>
      <c r="AO39" s="17" t="s">
        <v>128</v>
      </c>
      <c r="AP39" s="17" t="s">
        <v>233</v>
      </c>
      <c r="AQ39" s="157" t="s">
        <v>139</v>
      </c>
      <c r="AS39" s="144" t="s">
        <v>234</v>
      </c>
      <c r="AT39" s="145">
        <v>21.5</v>
      </c>
      <c r="AV39" s="447">
        <v>1</v>
      </c>
    </row>
    <row r="40" spans="1:48" ht="24.95" customHeight="1">
      <c r="A40" s="149" t="s">
        <v>59</v>
      </c>
      <c r="B40" s="755" t="s">
        <v>60</v>
      </c>
      <c r="C40" s="755"/>
      <c r="D40" s="755"/>
      <c r="E40" s="755"/>
      <c r="F40" s="755"/>
      <c r="G40" s="755"/>
      <c r="H40" s="755"/>
      <c r="I40" s="755"/>
      <c r="J40" s="755"/>
      <c r="K40" s="755"/>
      <c r="L40" s="755"/>
      <c r="M40" s="755"/>
      <c r="O40" s="367" t="s">
        <v>714</v>
      </c>
      <c r="Q40" s="367" t="s">
        <v>715</v>
      </c>
      <c r="R40" s="376" t="s">
        <v>716</v>
      </c>
      <c r="S40" s="3"/>
      <c r="T40" s="72">
        <v>30</v>
      </c>
      <c r="U40" s="203"/>
      <c r="V40" s="159">
        <v>1.03</v>
      </c>
      <c r="W40" s="70" t="s">
        <v>688</v>
      </c>
      <c r="X40" s="38" t="s">
        <v>689</v>
      </c>
      <c r="Y40" s="3"/>
      <c r="Z40" s="195" t="s">
        <v>557</v>
      </c>
      <c r="AA40" s="196"/>
      <c r="AB40" s="196"/>
      <c r="AC40" s="196"/>
      <c r="AD40" s="3"/>
      <c r="AE40" s="3"/>
      <c r="AF40" s="3"/>
      <c r="AG40" s="3"/>
      <c r="AH40" s="3"/>
      <c r="AI40" s="3"/>
      <c r="AJ40" s="3"/>
      <c r="AL40" s="53" t="s">
        <v>236</v>
      </c>
      <c r="AM40" s="17" t="s">
        <v>127</v>
      </c>
      <c r="AN40" s="17">
        <v>1</v>
      </c>
      <c r="AO40" s="17" t="s">
        <v>128</v>
      </c>
      <c r="AP40" s="17" t="s">
        <v>237</v>
      </c>
      <c r="AQ40" s="157" t="s">
        <v>139</v>
      </c>
      <c r="AS40" s="144" t="s">
        <v>238</v>
      </c>
      <c r="AT40" s="145">
        <v>20</v>
      </c>
      <c r="AV40" s="447">
        <v>1</v>
      </c>
    </row>
    <row r="41" spans="1:48" ht="24.95" customHeight="1">
      <c r="A41" s="757"/>
      <c r="B41" s="27" t="s">
        <v>67</v>
      </c>
      <c r="C41" s="28" t="s">
        <v>6668</v>
      </c>
      <c r="D41" s="28"/>
      <c r="E41" s="27" t="s">
        <v>69</v>
      </c>
      <c r="F41" s="355" t="s">
        <v>558</v>
      </c>
      <c r="G41" s="30"/>
      <c r="H41" s="27" t="s">
        <v>71</v>
      </c>
      <c r="I41" s="356" t="s">
        <v>564</v>
      </c>
      <c r="J41" s="30"/>
      <c r="K41" s="27" t="s">
        <v>73</v>
      </c>
      <c r="L41" s="714" t="s">
        <v>10</v>
      </c>
      <c r="M41" s="33"/>
      <c r="N41" s="3"/>
      <c r="O41" s="375"/>
      <c r="Q41" s="375"/>
      <c r="R41" s="376"/>
      <c r="S41" s="3"/>
      <c r="T41" s="72">
        <v>25</v>
      </c>
      <c r="U41" s="203"/>
      <c r="V41" s="159">
        <v>1.03</v>
      </c>
      <c r="W41" s="70" t="s">
        <v>693</v>
      </c>
      <c r="X41" s="38" t="s">
        <v>645</v>
      </c>
      <c r="Y41" s="3"/>
      <c r="Z41" s="195" t="s">
        <v>563</v>
      </c>
      <c r="AA41" s="196"/>
      <c r="AB41" s="196"/>
      <c r="AC41" s="196"/>
      <c r="AD41" s="3"/>
      <c r="AE41" s="3"/>
      <c r="AF41" s="3"/>
      <c r="AG41" s="3"/>
      <c r="AH41" s="3"/>
      <c r="AI41" s="3"/>
      <c r="AJ41" s="3"/>
      <c r="AL41" s="39" t="s">
        <v>244</v>
      </c>
      <c r="AM41" s="17" t="s">
        <v>21</v>
      </c>
      <c r="AN41" s="17">
        <v>120</v>
      </c>
      <c r="AO41" s="17" t="s">
        <v>22</v>
      </c>
      <c r="AP41" s="17" t="s">
        <v>245</v>
      </c>
      <c r="AQ41" s="169" t="s">
        <v>246</v>
      </c>
      <c r="AS41" s="4"/>
      <c r="AT41" s="4"/>
      <c r="AV41" s="447">
        <v>1</v>
      </c>
    </row>
    <row r="42" spans="1:48" ht="24.95" customHeight="1">
      <c r="A42" s="757"/>
      <c r="B42" s="27" t="s">
        <v>80</v>
      </c>
      <c r="C42" s="38" t="s">
        <v>561</v>
      </c>
      <c r="D42" s="30"/>
      <c r="E42" s="27" t="s">
        <v>82</v>
      </c>
      <c r="F42" s="39" t="s">
        <v>83</v>
      </c>
      <c r="G42" s="30"/>
      <c r="H42" s="27" t="s">
        <v>84</v>
      </c>
      <c r="I42" s="40">
        <v>1</v>
      </c>
      <c r="J42" s="41" t="s">
        <v>83</v>
      </c>
      <c r="K42" s="41"/>
      <c r="L42" s="42" t="s">
        <v>76</v>
      </c>
      <c r="M42" s="33"/>
      <c r="N42" s="3"/>
      <c r="O42" s="368" t="s">
        <v>719</v>
      </c>
      <c r="Q42" s="368" t="s">
        <v>720</v>
      </c>
      <c r="R42" s="376" t="s">
        <v>721</v>
      </c>
      <c r="S42" s="3"/>
      <c r="T42" s="72">
        <v>35</v>
      </c>
      <c r="U42" s="203"/>
      <c r="V42" s="159">
        <v>1.03</v>
      </c>
      <c r="W42" s="70" t="s">
        <v>694</v>
      </c>
      <c r="X42" s="38" t="s">
        <v>595</v>
      </c>
      <c r="Y42" s="3"/>
      <c r="Z42" s="195" t="s">
        <v>567</v>
      </c>
      <c r="AA42" s="196"/>
      <c r="AB42" s="196"/>
      <c r="AC42" s="196"/>
      <c r="AD42" s="3"/>
      <c r="AE42" s="3"/>
      <c r="AF42" s="3"/>
      <c r="AG42" s="3"/>
      <c r="AH42" s="3"/>
      <c r="AI42" s="3"/>
      <c r="AJ42" s="3"/>
      <c r="AL42" s="39" t="s">
        <v>249</v>
      </c>
      <c r="AM42" s="17" t="s">
        <v>21</v>
      </c>
      <c r="AN42" s="17">
        <v>350</v>
      </c>
      <c r="AO42" s="17" t="s">
        <v>22</v>
      </c>
      <c r="AP42" s="17" t="s">
        <v>250</v>
      </c>
      <c r="AQ42" s="169" t="s">
        <v>246</v>
      </c>
      <c r="AS42" s="4"/>
      <c r="AT42" s="4"/>
      <c r="AV42" s="447">
        <v>1</v>
      </c>
    </row>
    <row r="43" spans="1:48" ht="24.95" customHeight="1">
      <c r="A43" s="757"/>
      <c r="B43" s="27" t="s">
        <v>94</v>
      </c>
      <c r="C43" s="151" t="s">
        <v>6670</v>
      </c>
      <c r="D43" s="30"/>
      <c r="E43" s="30"/>
      <c r="F43" s="30"/>
      <c r="G43" s="30"/>
      <c r="H43" s="27" t="s">
        <v>7267</v>
      </c>
      <c r="I43" s="48">
        <v>15</v>
      </c>
      <c r="J43" s="152" t="s">
        <v>32</v>
      </c>
      <c r="K43" s="30"/>
      <c r="L43" s="30"/>
      <c r="M43" s="33"/>
      <c r="N43" s="3"/>
      <c r="O43" s="375"/>
      <c r="Q43" s="375"/>
      <c r="R43" s="376"/>
      <c r="S43" s="3"/>
      <c r="T43" s="72">
        <v>40</v>
      </c>
      <c r="U43" s="203"/>
      <c r="V43" s="159">
        <v>1.03</v>
      </c>
      <c r="W43" s="70" t="s">
        <v>695</v>
      </c>
      <c r="X43" s="38" t="s">
        <v>628</v>
      </c>
      <c r="Y43" s="3"/>
      <c r="Z43" s="195" t="s">
        <v>571</v>
      </c>
      <c r="AA43" s="196"/>
      <c r="AB43" s="196"/>
      <c r="AC43" s="196"/>
      <c r="AD43" s="3"/>
      <c r="AE43" s="3"/>
      <c r="AF43" s="3"/>
      <c r="AG43" s="3"/>
      <c r="AH43" s="3"/>
      <c r="AI43" s="3"/>
      <c r="AJ43" s="3"/>
      <c r="AL43" s="39" t="s">
        <v>255</v>
      </c>
      <c r="AM43" s="17" t="s">
        <v>21</v>
      </c>
      <c r="AN43" s="17">
        <v>250</v>
      </c>
      <c r="AO43" s="17" t="s">
        <v>22</v>
      </c>
      <c r="AP43" s="17" t="s">
        <v>256</v>
      </c>
      <c r="AQ43" s="170" t="s">
        <v>257</v>
      </c>
      <c r="AS43" s="4"/>
      <c r="AT43" s="4"/>
      <c r="AV43" s="447">
        <v>1</v>
      </c>
    </row>
    <row r="44" spans="1:48" ht="24.95" customHeight="1">
      <c r="A44" s="757"/>
      <c r="B44" s="27"/>
      <c r="C44" s="52" t="str">
        <f>UPPER(LEFT(C41,1)) &amp; " . " &amp; UPPER(LEFT(C41,1)) &amp; LOWER(MID(C41,2,999)) &amp; " . " &amp; UPPER(LEFT(F41,1)) &amp; LOWER(MID(F41,2,999)) &amp; " . " &amp; UPPER(LEFT(I41,1)) &amp; LOWER(MID(I41,2,999)) &amp; " . " &amp; "Verre " &amp; UPPER(LEFT(F42,1)) &amp; LOWER(MID(F42,2,999)) &amp; IF(LEFT(L41,1)=UPPER(LEFT(L41,1)),".","") &amp; UPPER(LEFT(L41,1)) &amp; LOWER(MID(L41,2,999))&amp;"  couleur"&amp;" "&amp;C42&amp;"  intensité"&amp;" "&amp;C43</f>
        <v>N . Nom du cocktail . Avec ou sans alcool . Quand  . Verre Tumbler (old fashioned).Famille  couleur Couleur dominante à coller  intensité ****  précisez</v>
      </c>
      <c r="D44" s="52"/>
      <c r="E44" s="52"/>
      <c r="F44" s="52"/>
      <c r="G44" s="52"/>
      <c r="H44" s="52"/>
      <c r="I44" s="52"/>
      <c r="J44" s="52"/>
      <c r="K44" s="52"/>
      <c r="L44" s="30"/>
      <c r="M44" s="33"/>
      <c r="N44" s="3"/>
      <c r="O44" s="369" t="s">
        <v>725</v>
      </c>
      <c r="Q44" s="369" t="s">
        <v>726</v>
      </c>
      <c r="R44" s="376" t="s">
        <v>727</v>
      </c>
      <c r="S44" s="3"/>
      <c r="T44" s="72">
        <v>15</v>
      </c>
      <c r="U44" s="203"/>
      <c r="V44" s="159">
        <v>1.02</v>
      </c>
      <c r="W44" s="70" t="s">
        <v>699</v>
      </c>
      <c r="X44" s="38" t="s">
        <v>576</v>
      </c>
      <c r="Y44" s="3"/>
      <c r="Z44" s="197" t="s">
        <v>574</v>
      </c>
      <c r="AA44" s="196"/>
      <c r="AB44" s="196"/>
      <c r="AC44" s="196"/>
      <c r="AD44" s="3"/>
      <c r="AE44" s="3"/>
      <c r="AF44" s="3"/>
      <c r="AG44" s="3"/>
      <c r="AH44" s="3"/>
      <c r="AI44" s="3"/>
      <c r="AJ44" s="3"/>
      <c r="AL44" s="99" t="s">
        <v>240</v>
      </c>
      <c r="AM44" s="17" t="s">
        <v>21</v>
      </c>
      <c r="AN44" s="17">
        <v>30</v>
      </c>
      <c r="AO44" s="17" t="s">
        <v>22</v>
      </c>
      <c r="AP44" s="17" t="s">
        <v>240</v>
      </c>
      <c r="AQ44" s="170" t="s">
        <v>257</v>
      </c>
      <c r="AS44" s="4"/>
      <c r="AT44" s="4"/>
      <c r="AV44" s="447">
        <v>1</v>
      </c>
    </row>
    <row r="45" spans="1:48" ht="24.95" customHeight="1">
      <c r="A45" s="757"/>
      <c r="B45" s="27" t="s">
        <v>110</v>
      </c>
      <c r="C45" s="55" t="s">
        <v>111</v>
      </c>
      <c r="D45" s="55"/>
      <c r="E45" s="154"/>
      <c r="F45" s="154"/>
      <c r="G45" s="154"/>
      <c r="H45" s="154"/>
      <c r="I45" s="154"/>
      <c r="J45" s="154"/>
      <c r="K45" s="154"/>
      <c r="L45" s="30"/>
      <c r="M45" s="33"/>
      <c r="N45" s="3"/>
      <c r="O45" s="375"/>
      <c r="Q45" s="375"/>
      <c r="R45" s="376"/>
      <c r="S45" s="3"/>
      <c r="T45" s="72">
        <v>40</v>
      </c>
      <c r="U45" s="203"/>
      <c r="V45" s="159">
        <v>0.96</v>
      </c>
      <c r="W45" s="70" t="s">
        <v>700</v>
      </c>
      <c r="X45" s="38" t="s">
        <v>576</v>
      </c>
      <c r="Y45" s="3"/>
      <c r="Z45" s="195" t="s">
        <v>580</v>
      </c>
      <c r="AA45" s="196"/>
      <c r="AB45" s="196"/>
      <c r="AC45" s="196"/>
      <c r="AD45" s="3"/>
      <c r="AE45" s="3"/>
      <c r="AF45" s="3"/>
      <c r="AG45" s="3"/>
      <c r="AH45" s="3"/>
      <c r="AI45" s="3"/>
      <c r="AJ45" s="3"/>
      <c r="AL45" s="100" t="s">
        <v>248</v>
      </c>
      <c r="AM45" s="17" t="s">
        <v>21</v>
      </c>
      <c r="AN45" s="17">
        <v>90</v>
      </c>
      <c r="AO45" s="17" t="s">
        <v>22</v>
      </c>
      <c r="AP45" s="17" t="s">
        <v>248</v>
      </c>
      <c r="AQ45" s="170" t="s">
        <v>257</v>
      </c>
      <c r="AS45" s="4"/>
      <c r="AT45" s="4"/>
      <c r="AV45" s="447">
        <v>1</v>
      </c>
    </row>
    <row r="46" spans="1:48" ht="24.95" customHeight="1">
      <c r="A46" s="757"/>
      <c r="B46" s="30"/>
      <c r="C46" s="30"/>
      <c r="D46" s="30"/>
      <c r="E46" s="30"/>
      <c r="F46" s="30"/>
      <c r="G46" s="30"/>
      <c r="H46" s="206"/>
      <c r="I46" s="30"/>
      <c r="J46" s="30"/>
      <c r="K46" s="30"/>
      <c r="L46" s="30"/>
      <c r="M46" s="33"/>
      <c r="N46" s="3"/>
      <c r="O46" s="370" t="s">
        <v>731</v>
      </c>
      <c r="Q46" s="370" t="s">
        <v>268</v>
      </c>
      <c r="R46" s="376" t="s">
        <v>732</v>
      </c>
      <c r="S46" s="3"/>
      <c r="T46" s="72">
        <v>40</v>
      </c>
      <c r="U46" s="203"/>
      <c r="V46" s="159">
        <v>0.94</v>
      </c>
      <c r="W46" s="70" t="s">
        <v>701</v>
      </c>
      <c r="X46" s="38" t="s">
        <v>576</v>
      </c>
      <c r="Y46" s="3"/>
      <c r="Z46" s="197" t="s">
        <v>585</v>
      </c>
      <c r="AA46" s="196"/>
      <c r="AB46" s="196"/>
      <c r="AC46" s="196"/>
      <c r="AD46" s="3"/>
      <c r="AE46" s="3"/>
      <c r="AF46" s="3"/>
      <c r="AG46" s="3"/>
      <c r="AH46" s="3"/>
      <c r="AI46" s="3"/>
      <c r="AJ46" s="3"/>
      <c r="AL46" s="39" t="s">
        <v>265</v>
      </c>
      <c r="AM46" s="17" t="s">
        <v>21</v>
      </c>
      <c r="AN46" s="17">
        <v>250</v>
      </c>
      <c r="AO46" s="17" t="s">
        <v>22</v>
      </c>
      <c r="AP46" s="17" t="s">
        <v>266</v>
      </c>
      <c r="AQ46" s="170" t="s">
        <v>257</v>
      </c>
      <c r="AS46" s="4"/>
      <c r="AT46" s="4"/>
      <c r="AV46" s="447">
        <v>1</v>
      </c>
    </row>
    <row r="47" spans="1:48" ht="24.95" customHeight="1">
      <c r="A47" s="757"/>
      <c r="B47" s="57" t="s">
        <v>121</v>
      </c>
      <c r="C47" s="58" t="s">
        <v>568</v>
      </c>
      <c r="D47" s="58"/>
      <c r="E47" s="59"/>
      <c r="F47" s="57" t="s">
        <v>123</v>
      </c>
      <c r="G47" s="58"/>
      <c r="H47" s="60"/>
      <c r="I47" s="60"/>
      <c r="J47" s="61"/>
      <c r="K47" s="61"/>
      <c r="L47" s="61"/>
      <c r="M47" s="62"/>
      <c r="N47" s="3"/>
      <c r="O47" s="358"/>
      <c r="Q47" s="375"/>
      <c r="R47" s="376"/>
      <c r="S47" s="3"/>
      <c r="T47" s="72">
        <v>40</v>
      </c>
      <c r="U47" s="203"/>
      <c r="V47" s="159">
        <v>0.94</v>
      </c>
      <c r="W47" s="70" t="s">
        <v>703</v>
      </c>
      <c r="X47" s="38" t="s">
        <v>704</v>
      </c>
      <c r="Y47" s="3"/>
      <c r="Z47" s="196"/>
      <c r="AA47" s="196"/>
      <c r="AB47" s="196"/>
      <c r="AC47" s="196"/>
      <c r="AD47" s="3"/>
      <c r="AE47" s="3"/>
      <c r="AF47" s="3"/>
      <c r="AG47" s="3"/>
      <c r="AH47" s="3"/>
      <c r="AI47" s="3"/>
      <c r="AJ47" s="3"/>
      <c r="AL47" s="39" t="s">
        <v>270</v>
      </c>
      <c r="AM47" s="17" t="s">
        <v>21</v>
      </c>
      <c r="AN47" s="17">
        <v>75</v>
      </c>
      <c r="AO47" s="17" t="s">
        <v>22</v>
      </c>
      <c r="AP47" s="17" t="s">
        <v>271</v>
      </c>
      <c r="AQ47" s="170" t="s">
        <v>257</v>
      </c>
      <c r="AS47" s="4"/>
      <c r="AT47" s="4"/>
      <c r="AV47" s="447">
        <v>1</v>
      </c>
    </row>
    <row r="48" spans="1:48" ht="24.95" customHeight="1">
      <c r="A48" s="757"/>
      <c r="B48" s="10" t="s">
        <v>131</v>
      </c>
      <c r="C48" s="10" t="s">
        <v>132</v>
      </c>
      <c r="D48" s="10"/>
      <c r="E48" s="10"/>
      <c r="F48" s="10"/>
      <c r="G48" s="10"/>
      <c r="H48" s="10"/>
      <c r="I48" s="10"/>
      <c r="J48" s="11" t="str">
        <f>IF(COUNTIF(C50:C56,"*~**")+COUNTIF(C50:C56,"*~?*")=0,"",IF(COUNTIF(C50:C56,"*~**")&gt;0,COUNTIF(C50:C56,"*~**")&amp;" allergène"&amp;IF(COUNTIF(C50:C56,"*~**")&gt;1,"s","")&amp;" repéré"&amp;IF(COUNTIF(C50:C56,"*~**")&gt;1,"s","")&amp;" par *","")&amp;IF(AND(COUNTIF(C50:C56,"*~**")&gt;0,COUNTIF(C50:C56,"*~?*")&gt;0)," | ","")&amp;IF(COUNTIF(C50:C56,"*~?*")&gt;0,COUNTIF(C50:C56,"*~?*")&amp;" produit"&amp;IF(COUNTIF(C50:C56,"*~?*")&gt;1,"s","")&amp;" à vérifier par ?",""))</f>
        <v/>
      </c>
      <c r="K48" s="10"/>
      <c r="L48" s="10"/>
      <c r="M48" s="63"/>
      <c r="N48" s="3"/>
      <c r="O48" s="371" t="s">
        <v>737</v>
      </c>
      <c r="Q48" s="371" t="s">
        <v>738</v>
      </c>
      <c r="R48" s="376" t="s">
        <v>739</v>
      </c>
      <c r="S48" s="3"/>
      <c r="T48" s="72">
        <v>30</v>
      </c>
      <c r="U48" s="203"/>
      <c r="V48" s="159">
        <v>1.04</v>
      </c>
      <c r="W48" s="70" t="s">
        <v>705</v>
      </c>
      <c r="X48" s="38" t="s">
        <v>706</v>
      </c>
      <c r="Y48" s="3"/>
      <c r="Z48" s="736" t="s">
        <v>593</v>
      </c>
      <c r="AA48" s="737"/>
      <c r="AB48" s="737"/>
      <c r="AC48" s="738"/>
      <c r="AD48" s="3"/>
      <c r="AE48" s="3"/>
      <c r="AF48" s="3"/>
      <c r="AG48" s="3"/>
      <c r="AH48" s="3"/>
      <c r="AI48" s="3"/>
      <c r="AJ48" s="3"/>
      <c r="AL48" s="39" t="s">
        <v>24</v>
      </c>
      <c r="AM48" s="17" t="s">
        <v>21</v>
      </c>
      <c r="AN48" s="17">
        <v>350</v>
      </c>
      <c r="AO48" s="17" t="s">
        <v>22</v>
      </c>
      <c r="AP48" s="17" t="s">
        <v>275</v>
      </c>
      <c r="AQ48" s="174" t="s">
        <v>276</v>
      </c>
      <c r="AS48" s="4"/>
      <c r="AT48" s="4"/>
      <c r="AV48" s="447">
        <v>1</v>
      </c>
    </row>
    <row r="49" spans="1:48" ht="24.95" customHeight="1">
      <c r="A49" s="757"/>
      <c r="B49" s="66">
        <v>0</v>
      </c>
      <c r="C49" s="64" t="s">
        <v>141</v>
      </c>
      <c r="D49" s="65" t="s">
        <v>142</v>
      </c>
      <c r="E49" s="64" t="s">
        <v>9</v>
      </c>
      <c r="F49" s="66" t="s">
        <v>143</v>
      </c>
      <c r="G49" s="66" t="s">
        <v>144</v>
      </c>
      <c r="H49" s="66" t="s">
        <v>145</v>
      </c>
      <c r="I49" s="67" t="s">
        <v>146</v>
      </c>
      <c r="J49" s="67" t="s">
        <v>847</v>
      </c>
      <c r="K49" s="67" t="s">
        <v>148</v>
      </c>
      <c r="L49" s="67" t="s">
        <v>149</v>
      </c>
      <c r="M49" s="68" t="s">
        <v>150</v>
      </c>
      <c r="N49" s="3"/>
      <c r="O49" s="375"/>
      <c r="Q49" s="375"/>
      <c r="R49" s="376"/>
      <c r="S49" s="3"/>
      <c r="T49" s="72">
        <v>40</v>
      </c>
      <c r="U49" s="203"/>
      <c r="V49" s="159">
        <v>0.99</v>
      </c>
      <c r="W49" s="70" t="s">
        <v>707</v>
      </c>
      <c r="X49" s="38" t="s">
        <v>573</v>
      </c>
      <c r="Y49" s="3"/>
      <c r="Z49" s="195" t="s">
        <v>596</v>
      </c>
      <c r="AA49" s="196"/>
      <c r="AB49" s="196"/>
      <c r="AC49" s="196"/>
      <c r="AD49" s="3"/>
      <c r="AE49" s="3"/>
      <c r="AF49" s="3"/>
      <c r="AG49" s="3"/>
      <c r="AH49" s="3"/>
      <c r="AI49" s="3"/>
      <c r="AJ49" s="3"/>
      <c r="AL49" s="39" t="s">
        <v>33</v>
      </c>
      <c r="AM49" s="17" t="s">
        <v>21</v>
      </c>
      <c r="AN49" s="17">
        <v>400</v>
      </c>
      <c r="AO49" s="17" t="s">
        <v>22</v>
      </c>
      <c r="AP49" s="17" t="s">
        <v>279</v>
      </c>
      <c r="AQ49" s="174" t="s">
        <v>276</v>
      </c>
      <c r="AS49" s="4"/>
      <c r="AT49" s="4"/>
      <c r="AV49" s="447">
        <v>1</v>
      </c>
    </row>
    <row r="50" spans="1:48" ht="24.95" customHeight="1">
      <c r="A50" s="757"/>
      <c r="B50" s="158">
        <v>1</v>
      </c>
      <c r="C50" s="70"/>
      <c r="D50" s="79"/>
      <c r="E50" s="3"/>
      <c r="F50" s="72"/>
      <c r="G50" s="159"/>
      <c r="H50" s="160"/>
      <c r="I50" s="161"/>
      <c r="J50" s="73" t="s">
        <v>849</v>
      </c>
      <c r="K50" s="73"/>
      <c r="L50" s="73"/>
      <c r="M50" s="74"/>
      <c r="N50" s="3"/>
      <c r="O50" s="364" t="s">
        <v>745</v>
      </c>
      <c r="Q50" s="364" t="s">
        <v>746</v>
      </c>
      <c r="R50" s="376" t="s">
        <v>747</v>
      </c>
      <c r="S50" s="3"/>
      <c r="T50" s="72">
        <v>30</v>
      </c>
      <c r="U50" s="203"/>
      <c r="V50" s="159">
        <v>1.02</v>
      </c>
      <c r="W50" s="70" t="s">
        <v>711</v>
      </c>
      <c r="X50" s="38" t="s">
        <v>576</v>
      </c>
      <c r="Y50" s="3"/>
      <c r="Z50" s="197" t="s">
        <v>598</v>
      </c>
      <c r="AA50" s="196"/>
      <c r="AB50" s="196"/>
      <c r="AC50" s="196"/>
      <c r="AD50" s="3"/>
      <c r="AE50" s="3"/>
      <c r="AF50" s="3"/>
      <c r="AG50" s="3"/>
      <c r="AH50" s="3"/>
      <c r="AI50" s="3"/>
      <c r="AJ50" s="3"/>
      <c r="AK50" s="3"/>
      <c r="AL50" s="39" t="s">
        <v>40</v>
      </c>
      <c r="AM50" s="17" t="s">
        <v>21</v>
      </c>
      <c r="AN50" s="17">
        <v>180</v>
      </c>
      <c r="AO50" s="17" t="s">
        <v>22</v>
      </c>
      <c r="AP50" s="17" t="s">
        <v>282</v>
      </c>
      <c r="AQ50" s="174" t="s">
        <v>276</v>
      </c>
      <c r="AS50" s="4"/>
      <c r="AT50" s="4"/>
      <c r="AV50" s="447">
        <v>1</v>
      </c>
    </row>
    <row r="51" spans="1:48" ht="24.95" customHeight="1">
      <c r="A51" s="757"/>
      <c r="B51" s="162">
        <v>2</v>
      </c>
      <c r="C51" s="70"/>
      <c r="D51" s="79"/>
      <c r="E51" s="3"/>
      <c r="F51" s="72"/>
      <c r="G51" s="159"/>
      <c r="H51" s="160"/>
      <c r="I51" s="161"/>
      <c r="J51" s="73" t="s">
        <v>6989</v>
      </c>
      <c r="K51" s="73"/>
      <c r="L51" s="73"/>
      <c r="M51" s="74"/>
      <c r="N51" s="3"/>
      <c r="O51" s="375"/>
      <c r="Q51" s="375"/>
      <c r="R51" s="376"/>
      <c r="S51" s="3"/>
      <c r="T51" s="72">
        <v>40</v>
      </c>
      <c r="U51" s="203"/>
      <c r="V51" s="159">
        <v>0.95</v>
      </c>
      <c r="W51" s="70" t="s">
        <v>712</v>
      </c>
      <c r="X51" s="38" t="s">
        <v>620</v>
      </c>
      <c r="Y51" s="3"/>
      <c r="Z51" s="195" t="s">
        <v>600</v>
      </c>
      <c r="AA51" s="196"/>
      <c r="AB51" s="196"/>
      <c r="AC51" s="196"/>
      <c r="AL51" s="39" t="s">
        <v>43</v>
      </c>
      <c r="AM51" s="17" t="s">
        <v>21</v>
      </c>
      <c r="AN51" s="17">
        <v>240</v>
      </c>
      <c r="AO51" s="17" t="s">
        <v>22</v>
      </c>
      <c r="AP51" s="17" t="s">
        <v>287</v>
      </c>
      <c r="AQ51" s="174" t="s">
        <v>276</v>
      </c>
      <c r="AS51" s="4"/>
      <c r="AT51" s="4"/>
      <c r="AV51" s="447">
        <v>1</v>
      </c>
    </row>
    <row r="52" spans="1:48" ht="24.95" customHeight="1">
      <c r="A52" s="757"/>
      <c r="B52" s="158">
        <v>3</v>
      </c>
      <c r="C52" s="70"/>
      <c r="D52" s="79"/>
      <c r="E52" s="3"/>
      <c r="F52" s="72"/>
      <c r="G52" s="159"/>
      <c r="H52" s="160"/>
      <c r="I52" s="161"/>
      <c r="J52" s="73" t="s">
        <v>6990</v>
      </c>
      <c r="K52" s="73"/>
      <c r="L52" s="73"/>
      <c r="M52" s="74"/>
      <c r="N52" s="3"/>
      <c r="O52" s="372" t="s">
        <v>752</v>
      </c>
      <c r="Q52" s="372" t="s">
        <v>29</v>
      </c>
      <c r="R52" s="376" t="s">
        <v>753</v>
      </c>
      <c r="S52" s="3"/>
      <c r="T52" s="72">
        <v>35</v>
      </c>
      <c r="U52" s="203"/>
      <c r="V52" s="159">
        <v>1.05</v>
      </c>
      <c r="W52" s="70" t="s">
        <v>713</v>
      </c>
      <c r="X52" s="38" t="s">
        <v>595</v>
      </c>
      <c r="Y52" s="3"/>
      <c r="Z52" s="197" t="s">
        <v>603</v>
      </c>
      <c r="AA52" s="196"/>
      <c r="AB52" s="196"/>
      <c r="AC52" s="196"/>
      <c r="AL52" s="39" t="s">
        <v>46</v>
      </c>
      <c r="AM52" s="17" t="s">
        <v>21</v>
      </c>
      <c r="AN52" s="17">
        <v>240</v>
      </c>
      <c r="AO52" s="17" t="s">
        <v>22</v>
      </c>
      <c r="AP52" s="17" t="s">
        <v>290</v>
      </c>
      <c r="AQ52" s="174" t="s">
        <v>276</v>
      </c>
      <c r="AS52" s="4"/>
      <c r="AT52" s="4"/>
      <c r="AV52" s="447">
        <v>1</v>
      </c>
    </row>
    <row r="53" spans="1:48" ht="24.95" customHeight="1">
      <c r="A53" s="757"/>
      <c r="B53" s="162">
        <v>4</v>
      </c>
      <c r="C53" s="70"/>
      <c r="D53" s="79"/>
      <c r="E53" s="3"/>
      <c r="F53" s="72"/>
      <c r="G53" s="159"/>
      <c r="H53" s="160"/>
      <c r="I53" s="161"/>
      <c r="J53" s="73" t="s">
        <v>6991</v>
      </c>
      <c r="K53" s="73"/>
      <c r="L53" s="73"/>
      <c r="M53" s="74"/>
      <c r="N53" s="3"/>
      <c r="O53" s="375"/>
      <c r="Q53" s="375"/>
      <c r="R53" s="376"/>
      <c r="S53" s="3"/>
      <c r="T53" s="72">
        <v>40</v>
      </c>
      <c r="U53" s="203"/>
      <c r="V53" s="159">
        <v>1.04</v>
      </c>
      <c r="W53" s="70" t="s">
        <v>679</v>
      </c>
      <c r="X53" s="38" t="s">
        <v>576</v>
      </c>
      <c r="Y53" s="3"/>
      <c r="Z53" s="198" t="s">
        <v>606</v>
      </c>
      <c r="AA53" s="196"/>
      <c r="AB53" s="196"/>
      <c r="AC53" s="196"/>
      <c r="AL53" s="39" t="s">
        <v>49</v>
      </c>
      <c r="AM53" s="17" t="s">
        <v>21</v>
      </c>
      <c r="AN53" s="17">
        <v>180</v>
      </c>
      <c r="AO53" s="17" t="s">
        <v>22</v>
      </c>
      <c r="AP53" s="17" t="s">
        <v>293</v>
      </c>
      <c r="AQ53" s="174" t="s">
        <v>276</v>
      </c>
      <c r="AS53" s="4"/>
      <c r="AT53" s="4"/>
      <c r="AV53" s="447">
        <v>1</v>
      </c>
    </row>
    <row r="54" spans="1:48" ht="24.95" customHeight="1">
      <c r="A54" s="757"/>
      <c r="B54" s="158">
        <v>5</v>
      </c>
      <c r="C54" s="70"/>
      <c r="D54" s="79"/>
      <c r="E54" s="3"/>
      <c r="F54" s="72"/>
      <c r="G54" s="159"/>
      <c r="H54" s="160"/>
      <c r="I54" s="161"/>
      <c r="J54" s="73" t="s">
        <v>6992</v>
      </c>
      <c r="K54" s="73"/>
      <c r="L54" s="73"/>
      <c r="M54" s="74"/>
      <c r="N54" s="3"/>
      <c r="O54" s="373" t="s">
        <v>757</v>
      </c>
      <c r="Q54" s="373" t="s">
        <v>758</v>
      </c>
      <c r="R54" s="376" t="s">
        <v>759</v>
      </c>
      <c r="T54" s="72">
        <v>40</v>
      </c>
      <c r="U54" s="203"/>
      <c r="V54" s="159">
        <v>0.94</v>
      </c>
      <c r="W54" s="70" t="s">
        <v>717</v>
      </c>
      <c r="X54" s="38" t="s">
        <v>595</v>
      </c>
      <c r="Z54" s="195" t="s">
        <v>612</v>
      </c>
      <c r="AA54" s="196"/>
      <c r="AB54" s="196"/>
      <c r="AC54" s="196"/>
      <c r="AL54" s="39" t="s">
        <v>53</v>
      </c>
      <c r="AM54" s="17" t="s">
        <v>21</v>
      </c>
      <c r="AN54" s="17">
        <v>120</v>
      </c>
      <c r="AO54" s="17" t="s">
        <v>22</v>
      </c>
      <c r="AP54" s="17" t="s">
        <v>296</v>
      </c>
      <c r="AQ54" s="174" t="s">
        <v>276</v>
      </c>
      <c r="AS54" s="4"/>
      <c r="AT54" s="4"/>
      <c r="AV54" s="447">
        <v>1</v>
      </c>
    </row>
    <row r="55" spans="1:48" ht="24.95" customHeight="1">
      <c r="A55" s="757"/>
      <c r="B55" s="162"/>
      <c r="C55" s="70"/>
      <c r="D55" s="79"/>
      <c r="E55" s="3"/>
      <c r="F55" s="72"/>
      <c r="G55" s="159"/>
      <c r="H55" s="160"/>
      <c r="I55" s="161"/>
      <c r="J55" s="73" t="s">
        <v>243</v>
      </c>
      <c r="K55" s="73"/>
      <c r="L55" s="73"/>
      <c r="M55" s="74"/>
      <c r="N55" s="3"/>
      <c r="O55" s="375"/>
      <c r="Q55" s="375"/>
      <c r="R55" s="376"/>
      <c r="T55" s="72">
        <v>35</v>
      </c>
      <c r="U55" s="203"/>
      <c r="V55" s="159">
        <v>1.03</v>
      </c>
      <c r="W55" s="70" t="s">
        <v>718</v>
      </c>
      <c r="X55" s="38" t="s">
        <v>605</v>
      </c>
      <c r="Z55" s="195" t="s">
        <v>615</v>
      </c>
      <c r="AA55" s="196"/>
      <c r="AB55" s="196"/>
      <c r="AC55" s="196"/>
      <c r="AL55" s="39" t="s">
        <v>58</v>
      </c>
      <c r="AM55" s="17" t="s">
        <v>21</v>
      </c>
      <c r="AN55" s="17">
        <v>200</v>
      </c>
      <c r="AO55" s="17" t="s">
        <v>22</v>
      </c>
      <c r="AP55" s="17" t="s">
        <v>58</v>
      </c>
      <c r="AQ55" s="174" t="s">
        <v>276</v>
      </c>
      <c r="AS55" s="4"/>
      <c r="AT55" s="4"/>
      <c r="AV55" s="447">
        <v>1</v>
      </c>
    </row>
    <row r="56" spans="1:48" ht="24.95" customHeight="1">
      <c r="A56" s="757"/>
      <c r="B56" s="158"/>
      <c r="C56" s="70"/>
      <c r="D56" s="79"/>
      <c r="E56" s="3"/>
      <c r="F56" s="72"/>
      <c r="G56" s="159"/>
      <c r="H56" s="160"/>
      <c r="I56" s="161"/>
      <c r="J56" s="73" t="s">
        <v>6995</v>
      </c>
      <c r="K56" s="73"/>
      <c r="L56" s="73"/>
      <c r="M56" s="74"/>
      <c r="N56" s="3"/>
      <c r="O56" s="366" t="s">
        <v>763</v>
      </c>
      <c r="Q56" s="366" t="s">
        <v>764</v>
      </c>
      <c r="R56" s="376" t="s">
        <v>765</v>
      </c>
      <c r="T56" s="72">
        <v>35</v>
      </c>
      <c r="U56" s="203"/>
      <c r="V56" s="159">
        <v>1.03</v>
      </c>
      <c r="W56" s="70" t="s">
        <v>722</v>
      </c>
      <c r="X56" s="38" t="s">
        <v>595</v>
      </c>
      <c r="Z56" s="195" t="s">
        <v>618</v>
      </c>
      <c r="AA56" s="196"/>
      <c r="AB56" s="196"/>
      <c r="AC56" s="196"/>
      <c r="AL56" s="39" t="s">
        <v>79</v>
      </c>
      <c r="AM56" s="17" t="s">
        <v>21</v>
      </c>
      <c r="AN56" s="17">
        <v>400</v>
      </c>
      <c r="AO56" s="17" t="s">
        <v>22</v>
      </c>
      <c r="AP56" s="17" t="s">
        <v>301</v>
      </c>
      <c r="AQ56" s="174" t="s">
        <v>276</v>
      </c>
      <c r="AS56" s="4"/>
      <c r="AT56" s="4"/>
      <c r="AV56" s="447">
        <v>1</v>
      </c>
    </row>
    <row r="57" spans="1:48" ht="24.95" customHeight="1">
      <c r="A57" s="757"/>
      <c r="B57" s="14" t="s">
        <v>44</v>
      </c>
      <c r="C57" s="146" t="s">
        <v>198</v>
      </c>
      <c r="D57" s="89"/>
      <c r="E57" s="89"/>
      <c r="F57" s="89"/>
      <c r="G57" s="89"/>
      <c r="H57" s="89"/>
      <c r="I57" s="89"/>
      <c r="J57" s="89" t="s">
        <v>6996</v>
      </c>
      <c r="K57" s="89"/>
      <c r="L57" s="89"/>
      <c r="M57" s="90"/>
      <c r="N57" s="3"/>
      <c r="O57" s="375"/>
      <c r="Q57" s="375"/>
      <c r="R57" s="376"/>
      <c r="T57" s="72">
        <v>15</v>
      </c>
      <c r="U57" s="203"/>
      <c r="V57" s="159">
        <v>1.02</v>
      </c>
      <c r="W57" s="70" t="s">
        <v>723</v>
      </c>
      <c r="X57" s="38" t="s">
        <v>576</v>
      </c>
      <c r="Z57" s="195" t="s">
        <v>624</v>
      </c>
      <c r="AA57" s="196"/>
      <c r="AB57" s="196"/>
      <c r="AC57" s="196"/>
      <c r="AL57" s="39" t="s">
        <v>109</v>
      </c>
      <c r="AM57" s="17" t="s">
        <v>21</v>
      </c>
      <c r="AN57" s="17">
        <v>240</v>
      </c>
      <c r="AO57" s="17" t="s">
        <v>22</v>
      </c>
      <c r="AP57" s="17" t="s">
        <v>304</v>
      </c>
      <c r="AQ57" s="174" t="s">
        <v>276</v>
      </c>
      <c r="AS57" s="4"/>
      <c r="AT57" s="4"/>
      <c r="AV57" s="447">
        <v>1</v>
      </c>
    </row>
    <row r="58" spans="1:48" ht="24.95" customHeight="1">
      <c r="A58" s="757"/>
      <c r="B58" s="91">
        <v>0</v>
      </c>
      <c r="C58" s="10" t="s">
        <v>491</v>
      </c>
      <c r="D58" s="11"/>
      <c r="E58" s="11"/>
      <c r="F58" s="11"/>
      <c r="G58" s="11"/>
      <c r="H58" s="11"/>
      <c r="I58" s="11"/>
      <c r="J58" s="11"/>
      <c r="K58" s="11"/>
      <c r="L58" s="11"/>
      <c r="M58" s="92"/>
      <c r="N58" s="3"/>
      <c r="O58" s="357" t="s">
        <v>769</v>
      </c>
      <c r="Q58" s="357" t="s">
        <v>770</v>
      </c>
      <c r="R58" s="376" t="s">
        <v>771</v>
      </c>
      <c r="T58" s="72">
        <v>40</v>
      </c>
      <c r="U58" s="203"/>
      <c r="V58" s="159">
        <v>0.94</v>
      </c>
      <c r="W58" s="70" t="s">
        <v>724</v>
      </c>
      <c r="X58" s="38" t="s">
        <v>576</v>
      </c>
      <c r="Z58" s="197" t="s">
        <v>626</v>
      </c>
      <c r="AA58" s="196"/>
      <c r="AB58" s="196"/>
      <c r="AC58" s="196"/>
      <c r="AL58" s="39" t="s">
        <v>120</v>
      </c>
      <c r="AM58" s="17" t="s">
        <v>21</v>
      </c>
      <c r="AN58" s="17">
        <v>500</v>
      </c>
      <c r="AO58" s="17" t="s">
        <v>22</v>
      </c>
      <c r="AP58" s="17" t="s">
        <v>120</v>
      </c>
      <c r="AQ58" s="174" t="s">
        <v>276</v>
      </c>
      <c r="AS58" s="4"/>
      <c r="AT58" s="4"/>
      <c r="AV58" s="447">
        <v>1</v>
      </c>
    </row>
    <row r="59" spans="1:48" ht="24.95" customHeight="1">
      <c r="A59" s="757"/>
      <c r="B59" s="95">
        <v>1</v>
      </c>
      <c r="C59" s="96" t="s">
        <v>7268</v>
      </c>
      <c r="D59" s="96"/>
      <c r="E59" s="96"/>
      <c r="F59" s="96"/>
      <c r="G59" s="96"/>
      <c r="H59" s="96"/>
      <c r="I59" s="96"/>
      <c r="J59" s="96"/>
      <c r="K59" s="96"/>
      <c r="L59" s="96"/>
      <c r="M59" s="74"/>
      <c r="N59" s="3"/>
      <c r="O59" s="375"/>
      <c r="Q59" s="375"/>
      <c r="R59" s="376"/>
      <c r="T59" s="72">
        <v>40</v>
      </c>
      <c r="U59" s="203"/>
      <c r="V59" s="159">
        <v>1.05</v>
      </c>
      <c r="W59" s="70" t="s">
        <v>728</v>
      </c>
      <c r="X59" s="38" t="s">
        <v>628</v>
      </c>
      <c r="Z59" s="195" t="s">
        <v>629</v>
      </c>
      <c r="AA59" s="196"/>
      <c r="AB59" s="196"/>
      <c r="AC59" s="196"/>
      <c r="AL59" s="39" t="s">
        <v>130</v>
      </c>
      <c r="AM59" s="17" t="s">
        <v>21</v>
      </c>
      <c r="AN59" s="17">
        <v>215</v>
      </c>
      <c r="AO59" s="17" t="s">
        <v>22</v>
      </c>
      <c r="AP59" s="17" t="s">
        <v>309</v>
      </c>
      <c r="AQ59" s="174" t="s">
        <v>276</v>
      </c>
      <c r="AS59" s="4"/>
      <c r="AT59" s="4"/>
      <c r="AV59" s="447">
        <v>1</v>
      </c>
    </row>
    <row r="60" spans="1:48" ht="24.95" customHeight="1">
      <c r="A60" s="757"/>
      <c r="B60" s="95">
        <v>2</v>
      </c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74"/>
      <c r="N60" s="3"/>
      <c r="O60" s="357" t="s">
        <v>776</v>
      </c>
      <c r="Q60" s="357" t="s">
        <v>777</v>
      </c>
      <c r="R60" s="376" t="s">
        <v>778</v>
      </c>
      <c r="T60" s="72">
        <v>17</v>
      </c>
      <c r="U60" s="203"/>
      <c r="V60" s="159">
        <v>1.02</v>
      </c>
      <c r="W60" s="70" t="s">
        <v>729</v>
      </c>
      <c r="X60" s="38" t="s">
        <v>583</v>
      </c>
      <c r="Z60" s="197" t="s">
        <v>634</v>
      </c>
      <c r="AA60" s="196"/>
      <c r="AB60" s="196"/>
      <c r="AC60" s="196"/>
      <c r="AL60" s="39" t="s">
        <v>140</v>
      </c>
      <c r="AM60" s="17" t="s">
        <v>21</v>
      </c>
      <c r="AN60" s="17">
        <v>200</v>
      </c>
      <c r="AO60" s="17" t="s">
        <v>22</v>
      </c>
      <c r="AP60" s="17" t="s">
        <v>312</v>
      </c>
      <c r="AQ60" s="174" t="s">
        <v>276</v>
      </c>
      <c r="AS60" s="4"/>
      <c r="AT60" s="4"/>
      <c r="AV60" s="447">
        <v>1</v>
      </c>
    </row>
    <row r="61" spans="1:48" ht="24.95" customHeight="1">
      <c r="A61" s="757"/>
      <c r="B61" s="95">
        <v>3</v>
      </c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74"/>
      <c r="N61" s="3"/>
      <c r="O61" s="358"/>
      <c r="Q61" s="375"/>
      <c r="R61" s="376"/>
      <c r="T61" s="72">
        <v>25</v>
      </c>
      <c r="U61" s="203"/>
      <c r="V61" s="159">
        <v>1.05</v>
      </c>
      <c r="W61" s="70" t="s">
        <v>730</v>
      </c>
      <c r="X61" s="38" t="s">
        <v>588</v>
      </c>
      <c r="Z61" s="196"/>
      <c r="AA61" s="196"/>
      <c r="AB61" s="196"/>
      <c r="AC61" s="196"/>
      <c r="AL61" s="39" t="s">
        <v>175</v>
      </c>
      <c r="AM61" s="17" t="s">
        <v>21</v>
      </c>
      <c r="AN61" s="17">
        <v>350</v>
      </c>
      <c r="AO61" s="17" t="s">
        <v>22</v>
      </c>
      <c r="AP61" s="17" t="s">
        <v>314</v>
      </c>
      <c r="AQ61" s="174" t="s">
        <v>276</v>
      </c>
      <c r="AS61" s="4"/>
      <c r="AT61" s="4"/>
      <c r="AV61" s="447">
        <v>1</v>
      </c>
    </row>
    <row r="62" spans="1:48" ht="24.95" customHeight="1">
      <c r="A62" s="757"/>
      <c r="B62" s="95">
        <v>4</v>
      </c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74"/>
      <c r="N62" s="3"/>
      <c r="O62" s="745" t="s">
        <v>783</v>
      </c>
      <c r="Q62" s="745" t="s">
        <v>578</v>
      </c>
      <c r="R62" s="739" t="s">
        <v>579</v>
      </c>
      <c r="T62" s="72">
        <v>25</v>
      </c>
      <c r="U62" s="203"/>
      <c r="V62" s="159">
        <v>1.05</v>
      </c>
      <c r="W62" s="70" t="s">
        <v>733</v>
      </c>
      <c r="X62" s="38" t="s">
        <v>605</v>
      </c>
      <c r="Z62" s="736" t="s">
        <v>638</v>
      </c>
      <c r="AA62" s="737"/>
      <c r="AB62" s="737"/>
      <c r="AC62" s="738"/>
      <c r="AL62" s="39" t="s">
        <v>179</v>
      </c>
      <c r="AM62" s="17" t="s">
        <v>21</v>
      </c>
      <c r="AN62" s="17">
        <v>150</v>
      </c>
      <c r="AO62" s="17" t="s">
        <v>22</v>
      </c>
      <c r="AP62" s="17" t="s">
        <v>315</v>
      </c>
      <c r="AQ62" s="174" t="s">
        <v>276</v>
      </c>
      <c r="AS62" s="4"/>
      <c r="AT62" s="4"/>
      <c r="AV62" s="447">
        <v>1</v>
      </c>
    </row>
    <row r="63" spans="1:48" ht="24.95" customHeight="1">
      <c r="A63" s="757"/>
      <c r="B63" s="95">
        <v>5</v>
      </c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74"/>
      <c r="N63" s="3"/>
      <c r="O63" s="745"/>
      <c r="Q63" s="745"/>
      <c r="R63" s="739"/>
      <c r="T63" s="72">
        <v>24</v>
      </c>
      <c r="U63" s="203"/>
      <c r="V63" s="159">
        <v>1.03</v>
      </c>
      <c r="W63" s="70" t="s">
        <v>734</v>
      </c>
      <c r="X63" s="38" t="s">
        <v>735</v>
      </c>
      <c r="Z63" s="195" t="s">
        <v>643</v>
      </c>
      <c r="AA63" s="196"/>
      <c r="AB63" s="196"/>
      <c r="AC63" s="196"/>
      <c r="AL63" s="39" t="s">
        <v>183</v>
      </c>
      <c r="AM63" s="17" t="s">
        <v>21</v>
      </c>
      <c r="AN63" s="17">
        <v>570</v>
      </c>
      <c r="AO63" s="17" t="s">
        <v>22</v>
      </c>
      <c r="AP63" s="17" t="s">
        <v>317</v>
      </c>
      <c r="AQ63" s="174" t="s">
        <v>276</v>
      </c>
      <c r="AS63" s="4"/>
      <c r="AT63" s="4"/>
      <c r="AV63" s="447">
        <v>1</v>
      </c>
    </row>
    <row r="64" spans="1:48" ht="24.95" customHeight="1">
      <c r="A64" s="757"/>
      <c r="B64" s="95">
        <v>6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74"/>
      <c r="N64" s="3"/>
      <c r="O64" s="358"/>
      <c r="T64" s="72">
        <v>30</v>
      </c>
      <c r="U64" s="203"/>
      <c r="V64" s="159">
        <v>1.05</v>
      </c>
      <c r="W64" s="70" t="s">
        <v>736</v>
      </c>
      <c r="X64" s="38" t="s">
        <v>595</v>
      </c>
      <c r="Z64" s="197" t="s">
        <v>646</v>
      </c>
      <c r="AA64" s="196"/>
      <c r="AB64" s="196"/>
      <c r="AC64" s="196"/>
      <c r="AL64" s="39" t="s">
        <v>187</v>
      </c>
      <c r="AM64" s="17" t="s">
        <v>21</v>
      </c>
      <c r="AN64" s="17">
        <v>470</v>
      </c>
      <c r="AO64" s="17" t="s">
        <v>22</v>
      </c>
      <c r="AP64" s="17" t="s">
        <v>319</v>
      </c>
      <c r="AQ64" s="174" t="s">
        <v>276</v>
      </c>
      <c r="AS64" s="4"/>
      <c r="AT64" s="4"/>
      <c r="AV64" s="447">
        <v>1</v>
      </c>
    </row>
    <row r="65" spans="1:48" ht="24.95" customHeight="1">
      <c r="A65" s="757"/>
      <c r="B65" s="95">
        <v>7</v>
      </c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74"/>
      <c r="N65" s="3"/>
      <c r="O65" s="374" t="s">
        <v>786</v>
      </c>
      <c r="Q65" s="374" t="s">
        <v>787</v>
      </c>
      <c r="R65" s="376" t="s">
        <v>788</v>
      </c>
      <c r="T65" s="72">
        <v>35</v>
      </c>
      <c r="U65" s="203"/>
      <c r="V65" s="159">
        <v>1.03</v>
      </c>
      <c r="W65" s="70" t="s">
        <v>740</v>
      </c>
      <c r="X65" s="38" t="s">
        <v>645</v>
      </c>
      <c r="Z65" s="195" t="s">
        <v>648</v>
      </c>
      <c r="AA65" s="196"/>
      <c r="AB65" s="196"/>
      <c r="AC65" s="196"/>
      <c r="AL65" s="39" t="s">
        <v>191</v>
      </c>
      <c r="AM65" s="17" t="s">
        <v>21</v>
      </c>
      <c r="AN65" s="17">
        <v>400</v>
      </c>
      <c r="AO65" s="17" t="s">
        <v>22</v>
      </c>
      <c r="AP65" s="17" t="s">
        <v>321</v>
      </c>
      <c r="AQ65" s="174" t="s">
        <v>276</v>
      </c>
      <c r="AS65" s="4"/>
      <c r="AT65" s="4"/>
      <c r="AV65" s="447">
        <v>1</v>
      </c>
    </row>
    <row r="66" spans="1:48" ht="24.95" customHeight="1">
      <c r="A66" s="757"/>
      <c r="B66" s="95">
        <v>8</v>
      </c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74"/>
      <c r="N66" s="3"/>
      <c r="O66" s="375"/>
      <c r="Q66" s="375"/>
      <c r="R66" s="376"/>
      <c r="T66" s="72">
        <v>20</v>
      </c>
      <c r="U66" s="203"/>
      <c r="V66" s="159">
        <v>1.03</v>
      </c>
      <c r="W66" s="70" t="s">
        <v>741</v>
      </c>
      <c r="X66" s="38" t="s">
        <v>742</v>
      </c>
      <c r="Z66" s="197" t="s">
        <v>654</v>
      </c>
      <c r="AA66" s="196"/>
      <c r="AB66" s="196"/>
      <c r="AC66" s="196"/>
      <c r="AL66" s="39" t="s">
        <v>194</v>
      </c>
      <c r="AM66" s="17" t="s">
        <v>21</v>
      </c>
      <c r="AN66" s="17">
        <v>30</v>
      </c>
      <c r="AO66" s="17" t="s">
        <v>22</v>
      </c>
      <c r="AP66" s="17" t="s">
        <v>322</v>
      </c>
      <c r="AQ66" s="174" t="s">
        <v>276</v>
      </c>
      <c r="AS66" s="4"/>
      <c r="AT66" s="4"/>
      <c r="AV66" s="447">
        <v>1</v>
      </c>
    </row>
    <row r="67" spans="1:48" ht="24.95" customHeight="1">
      <c r="A67" s="757"/>
      <c r="B67" s="101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90"/>
      <c r="N67" s="3"/>
      <c r="O67" s="374" t="s">
        <v>793</v>
      </c>
      <c r="Q67" s="374" t="s">
        <v>794</v>
      </c>
      <c r="R67" s="376" t="s">
        <v>795</v>
      </c>
      <c r="T67" s="72">
        <v>25</v>
      </c>
      <c r="U67" s="203"/>
      <c r="V67" s="159">
        <v>1.05</v>
      </c>
      <c r="W67" s="70" t="s">
        <v>743</v>
      </c>
      <c r="X67" s="38" t="s">
        <v>744</v>
      </c>
      <c r="Z67" s="198" t="s">
        <v>656</v>
      </c>
      <c r="AA67" s="196"/>
      <c r="AB67" s="196"/>
      <c r="AC67" s="196"/>
      <c r="AL67" s="39" t="s">
        <v>201</v>
      </c>
      <c r="AM67" s="17" t="s">
        <v>21</v>
      </c>
      <c r="AN67" s="17">
        <v>300</v>
      </c>
      <c r="AO67" s="17" t="s">
        <v>22</v>
      </c>
      <c r="AP67" s="17" t="s">
        <v>323</v>
      </c>
      <c r="AQ67" s="174" t="s">
        <v>276</v>
      </c>
      <c r="AS67" s="4"/>
      <c r="AT67" s="4"/>
      <c r="AV67" s="447">
        <v>1</v>
      </c>
    </row>
    <row r="68" spans="1:48" ht="24.95" customHeight="1">
      <c r="A68" s="757"/>
      <c r="B68" s="10" t="s">
        <v>258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92"/>
      <c r="N68" s="3"/>
      <c r="O68" s="375"/>
      <c r="Q68" s="375"/>
      <c r="R68" s="376"/>
      <c r="T68" s="72">
        <v>20</v>
      </c>
      <c r="U68" s="203"/>
      <c r="V68" s="159">
        <v>1.04</v>
      </c>
      <c r="W68" s="70" t="s">
        <v>748</v>
      </c>
      <c r="X68" s="38" t="s">
        <v>595</v>
      </c>
      <c r="Z68" s="195" t="s">
        <v>658</v>
      </c>
      <c r="AA68" s="196"/>
      <c r="AB68" s="196"/>
      <c r="AC68" s="196"/>
      <c r="AL68" s="39" t="s">
        <v>205</v>
      </c>
      <c r="AM68" s="17" t="s">
        <v>21</v>
      </c>
      <c r="AN68" s="17">
        <v>200</v>
      </c>
      <c r="AO68" s="17" t="s">
        <v>22</v>
      </c>
      <c r="AP68" s="17" t="s">
        <v>324</v>
      </c>
      <c r="AQ68" s="174" t="s">
        <v>276</v>
      </c>
      <c r="AS68" s="4"/>
      <c r="AT68" s="4"/>
      <c r="AV68" s="447">
        <v>1</v>
      </c>
    </row>
    <row r="69" spans="1:48" ht="24.95" customHeight="1">
      <c r="A69" s="757"/>
      <c r="B69" s="102" t="s">
        <v>259</v>
      </c>
      <c r="C69" s="73" t="s">
        <v>7269</v>
      </c>
      <c r="D69" s="73"/>
      <c r="E69" s="73"/>
      <c r="F69" s="73"/>
      <c r="G69" s="73"/>
      <c r="H69" s="73"/>
      <c r="I69" s="73"/>
      <c r="J69" s="73"/>
      <c r="K69" s="73"/>
      <c r="L69" s="73"/>
      <c r="M69" s="74"/>
      <c r="N69" s="3"/>
      <c r="O69" s="374" t="s">
        <v>800</v>
      </c>
      <c r="Q69" s="374" t="s">
        <v>801</v>
      </c>
      <c r="R69" s="376" t="s">
        <v>802</v>
      </c>
      <c r="T69" s="72">
        <v>35</v>
      </c>
      <c r="U69" s="203"/>
      <c r="V69" s="159">
        <v>1.03</v>
      </c>
      <c r="W69" s="70" t="s">
        <v>749</v>
      </c>
      <c r="X69" s="38" t="s">
        <v>595</v>
      </c>
      <c r="Z69" s="195" t="s">
        <v>664</v>
      </c>
      <c r="AA69" s="196"/>
      <c r="AB69" s="196"/>
      <c r="AC69" s="196"/>
      <c r="AL69" s="39" t="s">
        <v>211</v>
      </c>
      <c r="AM69" s="17" t="s">
        <v>21</v>
      </c>
      <c r="AN69" s="17">
        <v>250</v>
      </c>
      <c r="AO69" s="17" t="s">
        <v>22</v>
      </c>
      <c r="AP69" s="17" t="s">
        <v>325</v>
      </c>
      <c r="AQ69" s="174" t="s">
        <v>276</v>
      </c>
      <c r="AS69" s="4"/>
      <c r="AT69" s="4"/>
      <c r="AV69" s="447">
        <v>1</v>
      </c>
    </row>
    <row r="70" spans="1:48" ht="24.95" customHeight="1">
      <c r="A70" s="757"/>
      <c r="B70" s="102" t="s">
        <v>262</v>
      </c>
      <c r="C70" s="73" t="s">
        <v>7270</v>
      </c>
      <c r="D70" s="73"/>
      <c r="E70" s="73"/>
      <c r="F70" s="73"/>
      <c r="G70" s="73"/>
      <c r="H70" s="73"/>
      <c r="I70" s="73"/>
      <c r="J70" s="73"/>
      <c r="K70" s="73"/>
      <c r="L70" s="73"/>
      <c r="M70" s="74"/>
      <c r="N70" s="3"/>
      <c r="O70" s="375"/>
      <c r="Q70" s="375"/>
      <c r="R70" s="376"/>
      <c r="T70" s="72">
        <v>35</v>
      </c>
      <c r="U70" s="203"/>
      <c r="V70" s="159">
        <v>1.03</v>
      </c>
      <c r="W70" s="70" t="s">
        <v>750</v>
      </c>
      <c r="X70" s="38" t="s">
        <v>751</v>
      </c>
      <c r="Z70" s="195" t="s">
        <v>667</v>
      </c>
      <c r="AA70" s="196"/>
      <c r="AB70" s="196"/>
      <c r="AC70" s="196"/>
      <c r="AL70" s="39" t="s">
        <v>216</v>
      </c>
      <c r="AM70" s="17" t="s">
        <v>21</v>
      </c>
      <c r="AN70" s="17">
        <v>300</v>
      </c>
      <c r="AO70" s="17" t="s">
        <v>22</v>
      </c>
      <c r="AP70" s="17" t="s">
        <v>327</v>
      </c>
      <c r="AQ70" s="174" t="s">
        <v>276</v>
      </c>
      <c r="AS70" s="4"/>
      <c r="AT70" s="4"/>
      <c r="AV70" s="447">
        <v>1</v>
      </c>
    </row>
    <row r="71" spans="1:48" ht="24.95" customHeight="1">
      <c r="A71" s="757"/>
      <c r="B71" s="104" t="s">
        <v>267</v>
      </c>
      <c r="C71" s="105" t="s">
        <v>124</v>
      </c>
      <c r="D71" s="73"/>
      <c r="E71" s="73"/>
      <c r="F71" s="73"/>
      <c r="G71" s="73"/>
      <c r="H71" s="73"/>
      <c r="I71" s="73"/>
      <c r="J71" s="73"/>
      <c r="K71" s="73"/>
      <c r="L71" s="73"/>
      <c r="M71" s="74"/>
      <c r="N71" s="3"/>
      <c r="O71" s="374" t="s">
        <v>806</v>
      </c>
      <c r="Q71" s="374" t="s">
        <v>807</v>
      </c>
      <c r="R71" s="376" t="s">
        <v>808</v>
      </c>
      <c r="T71" s="72">
        <v>18</v>
      </c>
      <c r="U71" s="203"/>
      <c r="V71" s="159">
        <v>1.03</v>
      </c>
      <c r="W71" s="70" t="s">
        <v>754</v>
      </c>
      <c r="X71" s="38" t="s">
        <v>645</v>
      </c>
      <c r="Z71" s="195" t="s">
        <v>668</v>
      </c>
      <c r="AA71" s="196"/>
      <c r="AB71" s="196"/>
      <c r="AC71" s="196"/>
      <c r="AL71" s="39" t="s">
        <v>83</v>
      </c>
      <c r="AM71" s="17" t="s">
        <v>21</v>
      </c>
      <c r="AN71" s="17">
        <v>240</v>
      </c>
      <c r="AO71" s="17" t="s">
        <v>22</v>
      </c>
      <c r="AP71" s="17" t="s">
        <v>328</v>
      </c>
      <c r="AQ71" s="174" t="s">
        <v>276</v>
      </c>
      <c r="AS71" s="4"/>
      <c r="AT71" s="4"/>
      <c r="AV71" s="447">
        <v>1</v>
      </c>
    </row>
    <row r="72" spans="1:48" ht="24.95" customHeight="1">
      <c r="A72" s="758"/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7" t="s">
        <v>272</v>
      </c>
      <c r="N72" s="3"/>
      <c r="O72" s="375"/>
      <c r="Q72" s="375"/>
      <c r="R72" s="376"/>
      <c r="T72" s="72">
        <v>35</v>
      </c>
      <c r="U72" s="203"/>
      <c r="V72" s="159">
        <v>1.03</v>
      </c>
      <c r="W72" s="70" t="s">
        <v>755</v>
      </c>
      <c r="X72" s="38" t="s">
        <v>645</v>
      </c>
      <c r="Z72" s="197" t="s">
        <v>673</v>
      </c>
      <c r="AA72" s="196"/>
      <c r="AB72" s="196"/>
      <c r="AC72" s="196"/>
      <c r="AL72" s="39" t="s">
        <v>227</v>
      </c>
      <c r="AM72" s="17" t="s">
        <v>21</v>
      </c>
      <c r="AN72" s="17">
        <v>60</v>
      </c>
      <c r="AO72" s="17" t="s">
        <v>22</v>
      </c>
      <c r="AP72" s="17" t="s">
        <v>329</v>
      </c>
      <c r="AQ72" s="174" t="s">
        <v>276</v>
      </c>
      <c r="AS72" s="4"/>
      <c r="AT72" s="4"/>
      <c r="AV72" s="447">
        <v>1</v>
      </c>
    </row>
    <row r="73" spans="1:48" ht="24.95" customHeight="1">
      <c r="N73" s="3"/>
      <c r="O73" s="374" t="s">
        <v>813</v>
      </c>
      <c r="Q73" s="374" t="s">
        <v>814</v>
      </c>
      <c r="R73" s="376" t="s">
        <v>815</v>
      </c>
      <c r="T73" s="72">
        <v>38</v>
      </c>
      <c r="U73" s="203"/>
      <c r="V73" s="159">
        <v>1.04</v>
      </c>
      <c r="W73" s="70" t="s">
        <v>756</v>
      </c>
      <c r="X73" s="38" t="s">
        <v>576</v>
      </c>
      <c r="Z73" s="195" t="s">
        <v>676</v>
      </c>
      <c r="AA73" s="196"/>
      <c r="AB73" s="196"/>
      <c r="AC73" s="196"/>
      <c r="AL73" s="39" t="s">
        <v>238</v>
      </c>
      <c r="AM73" s="17" t="s">
        <v>21</v>
      </c>
      <c r="AN73" s="17">
        <v>200</v>
      </c>
      <c r="AO73" s="17" t="s">
        <v>22</v>
      </c>
      <c r="AP73" s="17" t="s">
        <v>330</v>
      </c>
      <c r="AQ73" s="174" t="s">
        <v>276</v>
      </c>
      <c r="AS73" s="4"/>
      <c r="AT73" s="4"/>
      <c r="AV73" s="447">
        <v>1</v>
      </c>
    </row>
    <row r="74" spans="1:48" ht="24.95" customHeight="1">
      <c r="A74" s="149" t="s">
        <v>59</v>
      </c>
      <c r="B74" s="755" t="s">
        <v>60</v>
      </c>
      <c r="C74" s="755"/>
      <c r="D74" s="755"/>
      <c r="E74" s="755"/>
      <c r="F74" s="755"/>
      <c r="G74" s="755"/>
      <c r="H74" s="755"/>
      <c r="I74" s="755"/>
      <c r="J74" s="755"/>
      <c r="K74" s="755"/>
      <c r="L74" s="755"/>
      <c r="M74" s="755"/>
      <c r="N74" s="3"/>
      <c r="O74" s="375"/>
      <c r="Q74" s="375"/>
      <c r="R74" s="376"/>
      <c r="T74" s="72">
        <v>32</v>
      </c>
      <c r="U74" s="203"/>
      <c r="V74" s="159">
        <v>1.02</v>
      </c>
      <c r="W74" s="70" t="s">
        <v>760</v>
      </c>
      <c r="X74" s="38" t="s">
        <v>576</v>
      </c>
      <c r="Z74" s="197" t="s">
        <v>680</v>
      </c>
      <c r="AA74" s="196"/>
      <c r="AB74" s="196"/>
      <c r="AC74" s="196"/>
      <c r="AL74" s="39" t="s">
        <v>93</v>
      </c>
      <c r="AM74" s="17" t="s">
        <v>21</v>
      </c>
      <c r="AN74" s="17">
        <v>360</v>
      </c>
      <c r="AO74" s="17" t="s">
        <v>22</v>
      </c>
      <c r="AP74" s="17" t="s">
        <v>332</v>
      </c>
      <c r="AQ74" s="174" t="s">
        <v>276</v>
      </c>
      <c r="AS74" s="4"/>
      <c r="AT74" s="4"/>
      <c r="AV74" s="447">
        <v>1</v>
      </c>
    </row>
    <row r="75" spans="1:48" ht="24.95" customHeight="1">
      <c r="A75" s="757"/>
      <c r="B75" s="27" t="s">
        <v>67</v>
      </c>
      <c r="C75" s="28" t="s">
        <v>6668</v>
      </c>
      <c r="D75" s="28"/>
      <c r="E75" s="27" t="s">
        <v>69</v>
      </c>
      <c r="F75" s="355" t="s">
        <v>558</v>
      </c>
      <c r="G75" s="30"/>
      <c r="H75" s="27" t="s">
        <v>71</v>
      </c>
      <c r="I75" s="356" t="s">
        <v>564</v>
      </c>
      <c r="J75" s="30"/>
      <c r="K75" s="27" t="s">
        <v>73</v>
      </c>
      <c r="L75" s="714" t="s">
        <v>10</v>
      </c>
      <c r="M75" s="33"/>
      <c r="O75" s="374" t="s">
        <v>819</v>
      </c>
      <c r="Q75" s="374" t="s">
        <v>820</v>
      </c>
      <c r="R75" s="376" t="s">
        <v>821</v>
      </c>
      <c r="T75" s="72">
        <v>32</v>
      </c>
      <c r="U75" s="203"/>
      <c r="V75" s="159">
        <v>1.05</v>
      </c>
      <c r="W75" s="70" t="s">
        <v>761</v>
      </c>
      <c r="X75" s="38" t="s">
        <v>576</v>
      </c>
      <c r="Z75"/>
      <c r="AA75"/>
      <c r="AB75"/>
      <c r="AC75"/>
      <c r="AL75" s="39" t="s">
        <v>251</v>
      </c>
      <c r="AM75" s="17" t="s">
        <v>21</v>
      </c>
      <c r="AN75" s="17">
        <v>5</v>
      </c>
      <c r="AO75" s="17" t="s">
        <v>22</v>
      </c>
      <c r="AP75" s="17" t="s">
        <v>251</v>
      </c>
      <c r="AQ75" s="153" t="s">
        <v>108</v>
      </c>
      <c r="AS75" s="4"/>
      <c r="AT75" s="4"/>
      <c r="AV75" s="447">
        <v>1</v>
      </c>
    </row>
    <row r="76" spans="1:48" ht="24.95" customHeight="1">
      <c r="A76" s="757"/>
      <c r="B76" s="27" t="s">
        <v>80</v>
      </c>
      <c r="C76" s="38" t="s">
        <v>561</v>
      </c>
      <c r="D76" s="30"/>
      <c r="E76" s="27" t="s">
        <v>82</v>
      </c>
      <c r="F76" s="39" t="s">
        <v>83</v>
      </c>
      <c r="G76" s="30"/>
      <c r="H76" s="27" t="s">
        <v>84</v>
      </c>
      <c r="I76" s="40">
        <v>1</v>
      </c>
      <c r="J76" s="41" t="s">
        <v>83</v>
      </c>
      <c r="K76" s="41"/>
      <c r="L76" s="42" t="s">
        <v>76</v>
      </c>
      <c r="M76" s="33"/>
      <c r="N76" s="3"/>
      <c r="O76" s="375"/>
      <c r="Q76" s="375"/>
      <c r="R76" s="376"/>
      <c r="T76" s="72">
        <v>32</v>
      </c>
      <c r="U76" s="203"/>
      <c r="V76" s="159">
        <v>1.04</v>
      </c>
      <c r="W76" s="70" t="s">
        <v>762</v>
      </c>
      <c r="X76" s="38" t="s">
        <v>576</v>
      </c>
      <c r="AL76" s="39" t="s">
        <v>302</v>
      </c>
      <c r="AM76" s="17" t="s">
        <v>21</v>
      </c>
      <c r="AN76" s="17">
        <v>1</v>
      </c>
      <c r="AO76" s="17" t="s">
        <v>22</v>
      </c>
      <c r="AP76" s="17" t="s">
        <v>335</v>
      </c>
      <c r="AQ76" s="153" t="s">
        <v>108</v>
      </c>
      <c r="AS76" s="4"/>
      <c r="AT76" s="4"/>
      <c r="AV76" s="447">
        <v>1</v>
      </c>
    </row>
    <row r="77" spans="1:48" ht="24.95" customHeight="1">
      <c r="A77" s="757"/>
      <c r="B77" s="27" t="s">
        <v>94</v>
      </c>
      <c r="C77" s="151" t="s">
        <v>6670</v>
      </c>
      <c r="D77" s="30"/>
      <c r="E77" s="30"/>
      <c r="F77" s="30"/>
      <c r="G77" s="30"/>
      <c r="H77" s="27" t="s">
        <v>7267</v>
      </c>
      <c r="I77" s="48">
        <v>15</v>
      </c>
      <c r="J77" s="152" t="s">
        <v>32</v>
      </c>
      <c r="K77" s="30"/>
      <c r="L77" s="30"/>
      <c r="M77" s="33"/>
      <c r="N77" s="3"/>
      <c r="O77" s="374" t="s">
        <v>825</v>
      </c>
      <c r="Q77" s="374" t="s">
        <v>826</v>
      </c>
      <c r="R77" s="376" t="s">
        <v>827</v>
      </c>
      <c r="T77" s="72">
        <v>30</v>
      </c>
      <c r="U77" s="203"/>
      <c r="V77" s="159">
        <v>1.03</v>
      </c>
      <c r="W77" s="70" t="s">
        <v>766</v>
      </c>
      <c r="X77" s="38" t="s">
        <v>767</v>
      </c>
      <c r="AL77" s="39" t="s">
        <v>310</v>
      </c>
      <c r="AM77" s="17" t="s">
        <v>21</v>
      </c>
      <c r="AN77" s="17">
        <v>60</v>
      </c>
      <c r="AO77" s="17" t="s">
        <v>22</v>
      </c>
      <c r="AP77" s="17" t="s">
        <v>337</v>
      </c>
      <c r="AQ77" s="153" t="s">
        <v>108</v>
      </c>
      <c r="AS77" s="4"/>
      <c r="AT77" s="4"/>
      <c r="AV77" s="447">
        <v>1</v>
      </c>
    </row>
    <row r="78" spans="1:48" ht="24.95" customHeight="1">
      <c r="A78" s="757"/>
      <c r="B78" s="27"/>
      <c r="C78" s="52" t="str">
        <f>UPPER(LEFT(C75,1)) &amp; " . " &amp; UPPER(LEFT(C75,1)) &amp; LOWER(MID(C75,2,999)) &amp; " . " &amp; UPPER(LEFT(F75,1)) &amp; LOWER(MID(F75,2,999)) &amp; " . " &amp; UPPER(LEFT(I75,1)) &amp; LOWER(MID(I75,2,999)) &amp; " . " &amp; "Verre " &amp; UPPER(LEFT(F76,1)) &amp; LOWER(MID(F76,2,999)) &amp; IF(LEFT(L75,1)=UPPER(LEFT(L75,1)),".","") &amp; UPPER(LEFT(L75,1)) &amp; LOWER(MID(L75,2,999))&amp;"  couleur"&amp;" "&amp;C76&amp;"  intensité"&amp;" "&amp;C77</f>
        <v>N . Nom du cocktail . Avec ou sans alcool . Quand  . Verre Tumbler (old fashioned).Famille  couleur Couleur dominante à coller  intensité ****  précisez</v>
      </c>
      <c r="D78" s="52"/>
      <c r="E78" s="52"/>
      <c r="F78" s="52"/>
      <c r="G78" s="52"/>
      <c r="H78" s="52"/>
      <c r="I78" s="52"/>
      <c r="J78" s="52"/>
      <c r="K78" s="52"/>
      <c r="L78" s="30"/>
      <c r="M78" s="33"/>
      <c r="N78" s="3"/>
      <c r="O78" s="375"/>
      <c r="Q78" s="375"/>
      <c r="R78" s="376"/>
      <c r="T78" s="72">
        <v>16</v>
      </c>
      <c r="U78" s="203"/>
      <c r="V78" s="159">
        <v>1.03</v>
      </c>
      <c r="W78" s="70" t="s">
        <v>154</v>
      </c>
      <c r="X78" s="38" t="s">
        <v>576</v>
      </c>
      <c r="AL78" s="39" t="s">
        <v>331</v>
      </c>
      <c r="AM78" s="17" t="s">
        <v>21</v>
      </c>
      <c r="AN78" s="17">
        <v>2</v>
      </c>
      <c r="AO78" s="17" t="s">
        <v>22</v>
      </c>
      <c r="AP78" s="17" t="s">
        <v>331</v>
      </c>
      <c r="AQ78" s="153" t="s">
        <v>108</v>
      </c>
      <c r="AS78" s="4"/>
      <c r="AT78" s="4"/>
      <c r="AV78" s="447">
        <v>1</v>
      </c>
    </row>
    <row r="79" spans="1:48" ht="24.95" customHeight="1">
      <c r="A79" s="757"/>
      <c r="B79" s="27" t="s">
        <v>110</v>
      </c>
      <c r="C79" s="55" t="s">
        <v>111</v>
      </c>
      <c r="D79" s="55"/>
      <c r="E79" s="154"/>
      <c r="F79" s="154"/>
      <c r="G79" s="154"/>
      <c r="H79" s="154"/>
      <c r="I79" s="154"/>
      <c r="J79" s="154"/>
      <c r="K79" s="154"/>
      <c r="L79" s="30"/>
      <c r="M79" s="33"/>
      <c r="N79" s="3"/>
      <c r="O79" s="374" t="s">
        <v>831</v>
      </c>
      <c r="Q79" s="374" t="s">
        <v>832</v>
      </c>
      <c r="R79" s="376" t="s">
        <v>833</v>
      </c>
      <c r="T79" s="72">
        <v>25</v>
      </c>
      <c r="U79" s="203"/>
      <c r="V79" s="159">
        <v>1.04</v>
      </c>
      <c r="W79" s="70" t="s">
        <v>768</v>
      </c>
      <c r="X79" s="38" t="s">
        <v>595</v>
      </c>
      <c r="AL79" s="39" t="s">
        <v>333</v>
      </c>
      <c r="AM79" s="17" t="s">
        <v>21</v>
      </c>
      <c r="AN79" s="17">
        <v>44</v>
      </c>
      <c r="AO79" s="17" t="s">
        <v>22</v>
      </c>
      <c r="AP79" s="17" t="s">
        <v>333</v>
      </c>
      <c r="AQ79" s="153" t="s">
        <v>108</v>
      </c>
      <c r="AS79" s="4"/>
      <c r="AT79" s="4"/>
      <c r="AV79" s="447">
        <v>1</v>
      </c>
    </row>
    <row r="80" spans="1:48" ht="24.95" customHeight="1">
      <c r="A80" s="757"/>
      <c r="B80" s="30"/>
      <c r="C80" s="30"/>
      <c r="D80" s="30"/>
      <c r="E80" s="30"/>
      <c r="F80" s="30"/>
      <c r="G80" s="30"/>
      <c r="H80" s="206"/>
      <c r="I80" s="30"/>
      <c r="J80" s="30"/>
      <c r="K80" s="30"/>
      <c r="L80" s="30"/>
      <c r="M80" s="33"/>
      <c r="N80" s="3"/>
      <c r="T80" s="72">
        <v>38</v>
      </c>
      <c r="U80" s="203"/>
      <c r="V80" s="159">
        <v>0.96</v>
      </c>
      <c r="W80" s="70" t="s">
        <v>772</v>
      </c>
      <c r="X80" s="38" t="s">
        <v>570</v>
      </c>
      <c r="AL80" s="39" t="s">
        <v>334</v>
      </c>
      <c r="AM80" s="17" t="s">
        <v>21</v>
      </c>
      <c r="AN80" s="17">
        <v>44</v>
      </c>
      <c r="AO80" s="17" t="s">
        <v>22</v>
      </c>
      <c r="AP80" s="17" t="s">
        <v>334</v>
      </c>
      <c r="AQ80" s="153" t="s">
        <v>108</v>
      </c>
      <c r="AS80" s="4"/>
      <c r="AT80" s="4"/>
      <c r="AV80" s="447">
        <v>1</v>
      </c>
    </row>
    <row r="81" spans="1:48" ht="24.95" customHeight="1">
      <c r="A81" s="757"/>
      <c r="B81" s="57" t="s">
        <v>121</v>
      </c>
      <c r="C81" s="58" t="s">
        <v>568</v>
      </c>
      <c r="D81" s="58"/>
      <c r="E81" s="59"/>
      <c r="F81" s="57" t="s">
        <v>123</v>
      </c>
      <c r="G81" s="58"/>
      <c r="H81" s="60"/>
      <c r="I81" s="60"/>
      <c r="J81" s="61"/>
      <c r="K81" s="61"/>
      <c r="L81" s="61"/>
      <c r="M81" s="62"/>
      <c r="N81" s="3"/>
      <c r="O81" s="207" t="s">
        <v>844</v>
      </c>
      <c r="T81" s="72">
        <v>18</v>
      </c>
      <c r="U81" s="203"/>
      <c r="V81" s="159">
        <v>1.02</v>
      </c>
      <c r="W81" s="70" t="s">
        <v>773</v>
      </c>
      <c r="X81" s="38" t="s">
        <v>774</v>
      </c>
      <c r="AL81" s="39" t="s">
        <v>340</v>
      </c>
      <c r="AM81" s="17" t="s">
        <v>21</v>
      </c>
      <c r="AN81" s="17">
        <v>50</v>
      </c>
      <c r="AO81" s="17" t="s">
        <v>22</v>
      </c>
      <c r="AP81" s="17" t="s">
        <v>340</v>
      </c>
      <c r="AQ81" s="153" t="s">
        <v>108</v>
      </c>
      <c r="AS81" s="4"/>
      <c r="AT81" s="4"/>
      <c r="AV81" s="447">
        <v>1</v>
      </c>
    </row>
    <row r="82" spans="1:48" ht="24.95" customHeight="1">
      <c r="A82" s="757"/>
      <c r="B82" s="10" t="s">
        <v>131</v>
      </c>
      <c r="C82" s="10" t="s">
        <v>132</v>
      </c>
      <c r="D82" s="10"/>
      <c r="E82" s="10"/>
      <c r="F82" s="10"/>
      <c r="G82" s="10"/>
      <c r="H82" s="10"/>
      <c r="I82" s="10"/>
      <c r="J82" s="11" t="str">
        <f>IF(COUNTIF(C84:C90,"*~**")+COUNTIF(C84:C90,"*~?*")=0,"",IF(COUNTIF(C84:C90,"*~**")&gt;0,COUNTIF(C84:C90,"*~**")&amp;" allergène"&amp;IF(COUNTIF(C84:C90,"*~**")&gt;1,"s","")&amp;" repéré"&amp;IF(COUNTIF(C84:C90,"*~**")&gt;1,"s","")&amp;" par *","")&amp;IF(AND(COUNTIF(C84:C90,"*~**")&gt;0,COUNTIF(C84:C90,"*~?*")&gt;0)," | ","")&amp;IF(COUNTIF(C84:C90,"*~?*")&gt;0,COUNTIF(C84:C90,"*~?*")&amp;" produit"&amp;IF(COUNTIF(C84:C90,"*~?*")&gt;1,"s","")&amp;" à vérifier par ?",""))</f>
        <v/>
      </c>
      <c r="K82" s="10"/>
      <c r="L82" s="10"/>
      <c r="M82" s="63"/>
      <c r="N82" s="3"/>
      <c r="O82" s="208" t="s">
        <v>845</v>
      </c>
      <c r="T82" s="72">
        <v>25</v>
      </c>
      <c r="U82" s="203"/>
      <c r="V82" s="159">
        <v>1.03</v>
      </c>
      <c r="W82" s="70" t="s">
        <v>775</v>
      </c>
      <c r="X82" s="38" t="s">
        <v>645</v>
      </c>
      <c r="AL82" s="39" t="s">
        <v>342</v>
      </c>
      <c r="AM82" s="17" t="s">
        <v>21</v>
      </c>
      <c r="AN82" s="17">
        <v>30</v>
      </c>
      <c r="AO82" s="17" t="s">
        <v>22</v>
      </c>
      <c r="AP82" s="17" t="s">
        <v>343</v>
      </c>
      <c r="AQ82" s="153" t="s">
        <v>108</v>
      </c>
      <c r="AS82" s="4"/>
      <c r="AT82" s="4"/>
      <c r="AV82" s="447">
        <v>1</v>
      </c>
    </row>
    <row r="83" spans="1:48" ht="24.95" customHeight="1">
      <c r="A83" s="757"/>
      <c r="B83" s="66">
        <v>0</v>
      </c>
      <c r="C83" s="64" t="s">
        <v>141</v>
      </c>
      <c r="D83" s="65" t="s">
        <v>142</v>
      </c>
      <c r="E83" s="64" t="s">
        <v>9</v>
      </c>
      <c r="F83" s="66" t="s">
        <v>143</v>
      </c>
      <c r="G83" s="66" t="s">
        <v>144</v>
      </c>
      <c r="H83" s="66" t="s">
        <v>145</v>
      </c>
      <c r="I83" s="67" t="s">
        <v>146</v>
      </c>
      <c r="J83" s="67" t="s">
        <v>847</v>
      </c>
      <c r="K83" s="67" t="s">
        <v>148</v>
      </c>
      <c r="L83" s="67" t="s">
        <v>149</v>
      </c>
      <c r="M83" s="68" t="s">
        <v>150</v>
      </c>
      <c r="N83" s="3"/>
      <c r="O83" s="208" t="s">
        <v>846</v>
      </c>
      <c r="T83" s="72">
        <v>30</v>
      </c>
      <c r="U83" s="203"/>
      <c r="V83" s="159">
        <v>1.03</v>
      </c>
      <c r="W83" s="70" t="s">
        <v>779</v>
      </c>
      <c r="X83" s="38" t="s">
        <v>605</v>
      </c>
      <c r="AL83" s="39" t="s">
        <v>345</v>
      </c>
      <c r="AM83" s="17" t="s">
        <v>21</v>
      </c>
      <c r="AN83" s="17">
        <v>568</v>
      </c>
      <c r="AO83" s="17" t="s">
        <v>22</v>
      </c>
      <c r="AP83" s="17" t="s">
        <v>346</v>
      </c>
      <c r="AQ83" s="153" t="s">
        <v>108</v>
      </c>
      <c r="AS83" s="4"/>
      <c r="AT83" s="4"/>
      <c r="AV83" s="447">
        <v>1</v>
      </c>
    </row>
    <row r="84" spans="1:48" ht="24.95" customHeight="1">
      <c r="A84" s="757"/>
      <c r="B84" s="158">
        <v>1</v>
      </c>
      <c r="C84" s="70"/>
      <c r="D84" s="79"/>
      <c r="E84" s="3"/>
      <c r="F84" s="72"/>
      <c r="G84" s="159"/>
      <c r="H84" s="160"/>
      <c r="I84" s="161"/>
      <c r="J84" s="73" t="s">
        <v>849</v>
      </c>
      <c r="K84" s="73"/>
      <c r="L84" s="73"/>
      <c r="M84" s="74"/>
      <c r="N84" s="3"/>
      <c r="T84" s="72">
        <v>30</v>
      </c>
      <c r="U84" s="203"/>
      <c r="V84" s="159">
        <v>1.03</v>
      </c>
      <c r="W84" s="70" t="s">
        <v>780</v>
      </c>
      <c r="X84" s="38" t="s">
        <v>570</v>
      </c>
      <c r="AL84" s="39" t="s">
        <v>347</v>
      </c>
      <c r="AM84" s="17" t="s">
        <v>21</v>
      </c>
      <c r="AN84" s="17">
        <v>473</v>
      </c>
      <c r="AO84" s="17" t="s">
        <v>22</v>
      </c>
      <c r="AP84" s="17" t="s">
        <v>348</v>
      </c>
      <c r="AQ84" s="153" t="s">
        <v>108</v>
      </c>
      <c r="AS84" s="4"/>
      <c r="AT84" s="4"/>
      <c r="AV84" s="447">
        <v>1</v>
      </c>
    </row>
    <row r="85" spans="1:48" ht="24.95" customHeight="1">
      <c r="A85" s="757"/>
      <c r="B85" s="162">
        <v>2</v>
      </c>
      <c r="C85" s="70"/>
      <c r="D85" s="79"/>
      <c r="E85" s="3"/>
      <c r="F85" s="72"/>
      <c r="G85" s="159"/>
      <c r="H85" s="160"/>
      <c r="I85" s="161"/>
      <c r="J85" s="73" t="s">
        <v>6989</v>
      </c>
      <c r="K85" s="73"/>
      <c r="L85" s="73"/>
      <c r="M85" s="74"/>
      <c r="N85" s="3"/>
      <c r="T85" s="72">
        <v>40</v>
      </c>
      <c r="U85" s="203"/>
      <c r="V85" s="159">
        <v>0.96</v>
      </c>
      <c r="W85" s="70" t="s">
        <v>781</v>
      </c>
      <c r="X85" s="38" t="s">
        <v>782</v>
      </c>
      <c r="AL85" s="39" t="s">
        <v>350</v>
      </c>
      <c r="AM85" s="17" t="s">
        <v>21</v>
      </c>
      <c r="AN85" s="17">
        <v>30</v>
      </c>
      <c r="AO85" s="17" t="s">
        <v>22</v>
      </c>
      <c r="AP85" s="17" t="s">
        <v>351</v>
      </c>
      <c r="AQ85" s="153" t="s">
        <v>108</v>
      </c>
      <c r="AS85" s="4"/>
      <c r="AT85" s="4"/>
      <c r="AV85" s="447">
        <v>1</v>
      </c>
    </row>
    <row r="86" spans="1:48" ht="24.95" customHeight="1">
      <c r="A86" s="757"/>
      <c r="B86" s="158">
        <v>3</v>
      </c>
      <c r="C86" s="70"/>
      <c r="D86" s="79"/>
      <c r="E86" s="3"/>
      <c r="F86" s="72"/>
      <c r="G86" s="159"/>
      <c r="H86" s="160"/>
      <c r="I86" s="161"/>
      <c r="J86" s="73" t="s">
        <v>6990</v>
      </c>
      <c r="K86" s="73"/>
      <c r="L86" s="73"/>
      <c r="M86" s="74"/>
      <c r="N86" s="3"/>
      <c r="T86" s="72">
        <v>25</v>
      </c>
      <c r="U86" s="203"/>
      <c r="V86" s="159">
        <v>1.01</v>
      </c>
      <c r="W86" s="70" t="s">
        <v>265</v>
      </c>
      <c r="X86" s="38" t="s">
        <v>620</v>
      </c>
      <c r="AL86" s="39" t="s">
        <v>352</v>
      </c>
      <c r="AM86" s="17" t="s">
        <v>21</v>
      </c>
      <c r="AN86" s="17">
        <v>44</v>
      </c>
      <c r="AO86" s="17" t="s">
        <v>22</v>
      </c>
      <c r="AP86" s="17" t="s">
        <v>352</v>
      </c>
      <c r="AQ86" s="153" t="s">
        <v>108</v>
      </c>
      <c r="AS86" s="4"/>
      <c r="AT86" s="4"/>
      <c r="AV86" s="447">
        <v>1</v>
      </c>
    </row>
    <row r="87" spans="1:48" ht="24.95" customHeight="1">
      <c r="A87" s="757"/>
      <c r="B87" s="162">
        <v>4</v>
      </c>
      <c r="C87" s="70"/>
      <c r="D87" s="79"/>
      <c r="E87" s="3"/>
      <c r="F87" s="72"/>
      <c r="G87" s="159"/>
      <c r="H87" s="160"/>
      <c r="I87" s="161"/>
      <c r="J87" s="73" t="s">
        <v>6991</v>
      </c>
      <c r="K87" s="73"/>
      <c r="L87" s="73"/>
      <c r="M87" s="74"/>
      <c r="N87" s="3"/>
      <c r="T87" s="72">
        <v>17</v>
      </c>
      <c r="U87" s="203"/>
      <c r="V87" s="159">
        <v>1.03</v>
      </c>
      <c r="W87" s="70" t="s">
        <v>784</v>
      </c>
      <c r="X87" s="38" t="s">
        <v>576</v>
      </c>
      <c r="AL87" s="39" t="s">
        <v>353</v>
      </c>
      <c r="AM87" s="17" t="s">
        <v>21</v>
      </c>
      <c r="AN87" s="17">
        <v>4</v>
      </c>
      <c r="AO87" s="17" t="s">
        <v>22</v>
      </c>
      <c r="AP87" s="17" t="s">
        <v>354</v>
      </c>
      <c r="AQ87" s="153" t="s">
        <v>108</v>
      </c>
      <c r="AS87" s="4"/>
      <c r="AT87" s="4"/>
      <c r="AV87" s="447">
        <v>1</v>
      </c>
    </row>
    <row r="88" spans="1:48" ht="24.95" customHeight="1">
      <c r="A88" s="757"/>
      <c r="B88" s="158">
        <v>5</v>
      </c>
      <c r="C88" s="70"/>
      <c r="D88" s="79"/>
      <c r="E88" s="3"/>
      <c r="F88" s="72"/>
      <c r="G88" s="159"/>
      <c r="H88" s="160"/>
      <c r="I88" s="161"/>
      <c r="J88" s="73" t="s">
        <v>6992</v>
      </c>
      <c r="K88" s="73"/>
      <c r="L88" s="73"/>
      <c r="M88" s="74"/>
      <c r="N88" s="3"/>
      <c r="T88" s="72">
        <v>25</v>
      </c>
      <c r="U88" s="203"/>
      <c r="V88" s="159">
        <v>1.04</v>
      </c>
      <c r="W88" s="70" t="s">
        <v>785</v>
      </c>
      <c r="X88" s="38" t="s">
        <v>605</v>
      </c>
      <c r="AL88" s="39" t="s">
        <v>125</v>
      </c>
      <c r="AM88" s="17" t="s">
        <v>21</v>
      </c>
      <c r="AN88" s="17">
        <v>1.5</v>
      </c>
      <c r="AO88" s="17" t="s">
        <v>22</v>
      </c>
      <c r="AP88" s="17" t="s">
        <v>129</v>
      </c>
      <c r="AQ88" s="153" t="s">
        <v>108</v>
      </c>
      <c r="AS88" s="4"/>
      <c r="AT88" s="4"/>
      <c r="AV88" s="447">
        <v>1</v>
      </c>
    </row>
    <row r="89" spans="1:48" ht="24.95" customHeight="1">
      <c r="A89" s="757"/>
      <c r="B89" s="162"/>
      <c r="C89" s="70"/>
      <c r="D89" s="79"/>
      <c r="E89" s="3"/>
      <c r="F89" s="72"/>
      <c r="G89" s="159"/>
      <c r="H89" s="160"/>
      <c r="I89" s="161"/>
      <c r="J89" s="73" t="s">
        <v>243</v>
      </c>
      <c r="K89" s="73"/>
      <c r="L89" s="73"/>
      <c r="M89" s="74"/>
      <c r="N89" s="3"/>
      <c r="T89" s="72">
        <v>21</v>
      </c>
      <c r="U89" s="203"/>
      <c r="V89" s="159">
        <v>1.04</v>
      </c>
      <c r="W89" s="70" t="s">
        <v>789</v>
      </c>
      <c r="X89" s="38" t="s">
        <v>666</v>
      </c>
      <c r="AL89" s="39" t="s">
        <v>355</v>
      </c>
      <c r="AM89" s="17" t="s">
        <v>21</v>
      </c>
      <c r="AN89" s="17">
        <v>237</v>
      </c>
      <c r="AO89" s="17" t="s">
        <v>22</v>
      </c>
      <c r="AP89" s="17" t="s">
        <v>356</v>
      </c>
      <c r="AQ89" s="153" t="s">
        <v>108</v>
      </c>
      <c r="AS89" s="4"/>
      <c r="AT89" s="4"/>
      <c r="AV89" s="447">
        <v>1</v>
      </c>
    </row>
    <row r="90" spans="1:48" ht="24.95" customHeight="1">
      <c r="A90" s="757"/>
      <c r="B90" s="158"/>
      <c r="C90" s="70"/>
      <c r="D90" s="79"/>
      <c r="E90" s="3"/>
      <c r="F90" s="72"/>
      <c r="G90" s="159"/>
      <c r="H90" s="160"/>
      <c r="I90" s="161"/>
      <c r="J90" s="73" t="s">
        <v>6995</v>
      </c>
      <c r="K90" s="73"/>
      <c r="L90" s="73"/>
      <c r="M90" s="74"/>
      <c r="N90" s="3"/>
      <c r="T90" s="72">
        <v>19</v>
      </c>
      <c r="U90" s="203"/>
      <c r="V90" s="159">
        <v>1.03</v>
      </c>
      <c r="W90" s="70" t="s">
        <v>790</v>
      </c>
      <c r="X90" s="38" t="s">
        <v>791</v>
      </c>
      <c r="AL90" s="39" t="s">
        <v>305</v>
      </c>
      <c r="AM90" s="17" t="s">
        <v>21</v>
      </c>
      <c r="AN90" s="17">
        <v>45</v>
      </c>
      <c r="AO90" s="17" t="s">
        <v>22</v>
      </c>
      <c r="AP90" s="17" t="s">
        <v>357</v>
      </c>
      <c r="AQ90" s="180" t="s">
        <v>358</v>
      </c>
      <c r="AS90" s="4"/>
      <c r="AT90" s="4"/>
      <c r="AV90" s="447">
        <v>1</v>
      </c>
    </row>
    <row r="91" spans="1:48" ht="24.95" customHeight="1">
      <c r="A91" s="757"/>
      <c r="B91" s="14" t="s">
        <v>44</v>
      </c>
      <c r="C91" s="146" t="s">
        <v>198</v>
      </c>
      <c r="D91" s="89"/>
      <c r="E91" s="89"/>
      <c r="F91" s="89"/>
      <c r="G91" s="89"/>
      <c r="H91" s="89"/>
      <c r="I91" s="89"/>
      <c r="J91" s="89" t="s">
        <v>6996</v>
      </c>
      <c r="K91" s="89"/>
      <c r="L91" s="89"/>
      <c r="M91" s="90"/>
      <c r="N91" s="3"/>
      <c r="T91" s="72">
        <v>24</v>
      </c>
      <c r="U91" s="203"/>
      <c r="V91" s="159">
        <v>1.02</v>
      </c>
      <c r="W91" s="70" t="s">
        <v>792</v>
      </c>
      <c r="X91" s="38" t="s">
        <v>583</v>
      </c>
      <c r="AL91" s="39" t="s">
        <v>307</v>
      </c>
      <c r="AM91" s="17" t="s">
        <v>21</v>
      </c>
      <c r="AN91" s="17">
        <v>45</v>
      </c>
      <c r="AO91" s="17" t="s">
        <v>22</v>
      </c>
      <c r="AP91" s="17" t="s">
        <v>359</v>
      </c>
      <c r="AQ91" s="180" t="s">
        <v>358</v>
      </c>
      <c r="AS91" s="4"/>
      <c r="AT91" s="4"/>
      <c r="AV91" s="447">
        <v>1</v>
      </c>
    </row>
    <row r="92" spans="1:48" ht="24.95" customHeight="1">
      <c r="A92" s="757"/>
      <c r="B92" s="91">
        <v>0</v>
      </c>
      <c r="C92" s="10" t="s">
        <v>491</v>
      </c>
      <c r="D92" s="11"/>
      <c r="E92" s="11"/>
      <c r="F92" s="11"/>
      <c r="G92" s="11"/>
      <c r="H92" s="11"/>
      <c r="I92" s="11"/>
      <c r="J92" s="11"/>
      <c r="K92" s="11"/>
      <c r="L92" s="11"/>
      <c r="M92" s="92"/>
      <c r="N92" s="3"/>
      <c r="T92" s="72">
        <v>30</v>
      </c>
      <c r="U92" s="203"/>
      <c r="V92" s="159">
        <v>1.03</v>
      </c>
      <c r="W92" s="70" t="s">
        <v>796</v>
      </c>
      <c r="X92" s="38" t="s">
        <v>774</v>
      </c>
      <c r="AL92" s="39" t="s">
        <v>326</v>
      </c>
      <c r="AM92" s="17" t="s">
        <v>21</v>
      </c>
      <c r="AN92" s="17">
        <v>250</v>
      </c>
      <c r="AO92" s="17" t="s">
        <v>22</v>
      </c>
      <c r="AP92" s="17" t="s">
        <v>360</v>
      </c>
      <c r="AQ92" s="180" t="s">
        <v>358</v>
      </c>
      <c r="AS92" s="4"/>
      <c r="AT92" s="4"/>
      <c r="AV92" s="447">
        <v>1</v>
      </c>
    </row>
    <row r="93" spans="1:48" ht="24.95" customHeight="1">
      <c r="A93" s="757"/>
      <c r="B93" s="95">
        <v>1</v>
      </c>
      <c r="C93" s="96" t="s">
        <v>7268</v>
      </c>
      <c r="D93" s="96"/>
      <c r="E93" s="96"/>
      <c r="F93" s="96"/>
      <c r="G93" s="96"/>
      <c r="H93" s="96"/>
      <c r="I93" s="96"/>
      <c r="J93" s="96"/>
      <c r="K93" s="96"/>
      <c r="L93" s="96"/>
      <c r="M93" s="74"/>
      <c r="N93" s="3"/>
      <c r="T93" s="72">
        <v>25</v>
      </c>
      <c r="U93" s="203"/>
      <c r="V93" s="159">
        <v>1.03</v>
      </c>
      <c r="W93" s="70" t="s">
        <v>797</v>
      </c>
      <c r="X93" s="38" t="s">
        <v>798</v>
      </c>
      <c r="AL93" s="39" t="s">
        <v>344</v>
      </c>
      <c r="AM93" s="17" t="s">
        <v>21</v>
      </c>
      <c r="AN93" s="17">
        <v>30</v>
      </c>
      <c r="AO93" s="17" t="s">
        <v>22</v>
      </c>
      <c r="AP93" s="17" t="s">
        <v>361</v>
      </c>
      <c r="AQ93" s="180" t="s">
        <v>358</v>
      </c>
      <c r="AS93" s="4"/>
      <c r="AT93" s="4"/>
      <c r="AV93" s="447">
        <v>1</v>
      </c>
    </row>
    <row r="94" spans="1:48" ht="24.95" customHeight="1">
      <c r="A94" s="757"/>
      <c r="B94" s="95">
        <v>2</v>
      </c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74"/>
      <c r="N94" s="3"/>
      <c r="T94" s="72">
        <v>18</v>
      </c>
      <c r="U94" s="203"/>
      <c r="V94" s="159">
        <v>1.03</v>
      </c>
      <c r="W94" s="70" t="s">
        <v>799</v>
      </c>
      <c r="X94" s="38" t="s">
        <v>704</v>
      </c>
      <c r="AL94" s="39" t="s">
        <v>362</v>
      </c>
      <c r="AM94" s="17" t="s">
        <v>21</v>
      </c>
      <c r="AN94" s="17">
        <v>150</v>
      </c>
      <c r="AO94" s="17" t="s">
        <v>22</v>
      </c>
      <c r="AP94" s="17" t="s">
        <v>362</v>
      </c>
      <c r="AQ94" s="180" t="s">
        <v>358</v>
      </c>
      <c r="AS94" s="4"/>
      <c r="AT94" s="4"/>
      <c r="AV94" s="447">
        <v>1</v>
      </c>
    </row>
    <row r="95" spans="1:48" ht="24.95" customHeight="1">
      <c r="A95" s="757"/>
      <c r="B95" s="95">
        <v>3</v>
      </c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74"/>
      <c r="N95" s="3"/>
      <c r="T95" s="72">
        <v>25</v>
      </c>
      <c r="U95" s="203"/>
      <c r="V95" s="159">
        <v>1.03</v>
      </c>
      <c r="W95" s="70" t="s">
        <v>803</v>
      </c>
      <c r="X95" s="38" t="s">
        <v>595</v>
      </c>
      <c r="AL95" s="39" t="s">
        <v>364</v>
      </c>
      <c r="AM95" s="17" t="s">
        <v>21</v>
      </c>
      <c r="AN95" s="17">
        <v>40</v>
      </c>
      <c r="AO95" s="17" t="s">
        <v>22</v>
      </c>
      <c r="AP95" s="17" t="s">
        <v>365</v>
      </c>
      <c r="AQ95" s="180" t="s">
        <v>358</v>
      </c>
      <c r="AS95" s="4"/>
      <c r="AT95" s="4"/>
      <c r="AV95" s="447">
        <v>1</v>
      </c>
    </row>
    <row r="96" spans="1:48" ht="24.95" customHeight="1">
      <c r="A96" s="757"/>
      <c r="B96" s="95">
        <v>4</v>
      </c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74"/>
      <c r="N96" s="3"/>
      <c r="T96" s="72">
        <v>40</v>
      </c>
      <c r="U96" s="203"/>
      <c r="V96" s="159">
        <v>0.97</v>
      </c>
      <c r="W96" s="70" t="s">
        <v>804</v>
      </c>
      <c r="X96" s="38" t="s">
        <v>576</v>
      </c>
      <c r="AL96" s="39" t="s">
        <v>367</v>
      </c>
      <c r="AM96" s="17" t="s">
        <v>21</v>
      </c>
      <c r="AN96" s="17">
        <v>150</v>
      </c>
      <c r="AO96" s="17" t="s">
        <v>22</v>
      </c>
      <c r="AP96" s="17" t="s">
        <v>368</v>
      </c>
      <c r="AQ96" s="180" t="s">
        <v>358</v>
      </c>
      <c r="AS96" s="4"/>
      <c r="AT96" s="4"/>
      <c r="AV96" s="447">
        <v>1</v>
      </c>
    </row>
    <row r="97" spans="1:48" ht="24.95" customHeight="1">
      <c r="A97" s="757"/>
      <c r="B97" s="95">
        <v>5</v>
      </c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74"/>
      <c r="N97" s="3"/>
      <c r="T97" s="72">
        <v>40</v>
      </c>
      <c r="U97" s="203"/>
      <c r="V97" s="159">
        <v>0.96</v>
      </c>
      <c r="W97" s="70" t="s">
        <v>805</v>
      </c>
      <c r="X97" s="38" t="s">
        <v>666</v>
      </c>
      <c r="AL97" s="39" t="s">
        <v>370</v>
      </c>
      <c r="AM97" s="17" t="s">
        <v>21</v>
      </c>
      <c r="AN97" s="17">
        <v>45</v>
      </c>
      <c r="AO97" s="17" t="s">
        <v>22</v>
      </c>
      <c r="AP97" s="17" t="s">
        <v>371</v>
      </c>
      <c r="AQ97" s="180" t="s">
        <v>358</v>
      </c>
      <c r="AS97" s="4"/>
      <c r="AT97" s="4"/>
      <c r="AV97" s="447">
        <v>1</v>
      </c>
    </row>
    <row r="98" spans="1:48" ht="24.95" customHeight="1">
      <c r="A98" s="757"/>
      <c r="B98" s="95">
        <v>6</v>
      </c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74"/>
      <c r="N98" s="3"/>
      <c r="T98" s="72">
        <v>17</v>
      </c>
      <c r="U98" s="203"/>
      <c r="V98" s="159">
        <v>1.02</v>
      </c>
      <c r="W98" s="70" t="s">
        <v>809</v>
      </c>
      <c r="X98" s="38" t="s">
        <v>595</v>
      </c>
      <c r="AL98" s="39" t="s">
        <v>372</v>
      </c>
      <c r="AM98" s="17" t="s">
        <v>21</v>
      </c>
      <c r="AN98" s="17">
        <v>180</v>
      </c>
      <c r="AO98" s="17" t="s">
        <v>22</v>
      </c>
      <c r="AP98" s="17" t="s">
        <v>373</v>
      </c>
      <c r="AQ98" s="180" t="s">
        <v>358</v>
      </c>
      <c r="AS98" s="4"/>
      <c r="AT98" s="4"/>
      <c r="AV98" s="447">
        <v>1</v>
      </c>
    </row>
    <row r="99" spans="1:48" ht="24.95" customHeight="1">
      <c r="A99" s="757"/>
      <c r="B99" s="95">
        <v>7</v>
      </c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74"/>
      <c r="N99" s="3"/>
      <c r="T99" s="72">
        <v>40</v>
      </c>
      <c r="U99" s="203"/>
      <c r="V99" s="159">
        <v>0.94</v>
      </c>
      <c r="W99" s="70" t="s">
        <v>810</v>
      </c>
      <c r="X99" s="38" t="s">
        <v>588</v>
      </c>
      <c r="AL99" s="39" t="s">
        <v>268</v>
      </c>
      <c r="AM99" s="17" t="s">
        <v>21</v>
      </c>
      <c r="AN99" s="17">
        <v>240</v>
      </c>
      <c r="AO99" s="17" t="s">
        <v>22</v>
      </c>
      <c r="AP99" s="17" t="s">
        <v>374</v>
      </c>
      <c r="AQ99" s="181" t="s">
        <v>375</v>
      </c>
      <c r="AS99" s="4"/>
      <c r="AT99" s="4"/>
      <c r="AV99" s="447">
        <v>1</v>
      </c>
    </row>
    <row r="100" spans="1:48" ht="24.95" customHeight="1">
      <c r="A100" s="757"/>
      <c r="B100" s="95">
        <v>8</v>
      </c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74"/>
      <c r="N100" s="3"/>
      <c r="T100" s="72">
        <v>35</v>
      </c>
      <c r="U100" s="203"/>
      <c r="V100" s="159">
        <v>1.04</v>
      </c>
      <c r="W100" s="70" t="s">
        <v>811</v>
      </c>
      <c r="X100" s="38" t="s">
        <v>812</v>
      </c>
      <c r="AL100" s="39" t="s">
        <v>273</v>
      </c>
      <c r="AM100" s="17" t="s">
        <v>21</v>
      </c>
      <c r="AN100" s="17">
        <v>300</v>
      </c>
      <c r="AO100" s="17" t="s">
        <v>22</v>
      </c>
      <c r="AP100" s="17" t="s">
        <v>376</v>
      </c>
      <c r="AQ100" s="181" t="s">
        <v>375</v>
      </c>
      <c r="AS100" s="4"/>
      <c r="AT100" s="4"/>
      <c r="AV100" s="447">
        <v>1</v>
      </c>
    </row>
    <row r="101" spans="1:48" ht="24.95" customHeight="1">
      <c r="A101" s="757"/>
      <c r="B101" s="101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90"/>
      <c r="N101" s="3"/>
      <c r="T101" s="72">
        <v>16</v>
      </c>
      <c r="U101" s="203"/>
      <c r="V101" s="159">
        <v>1.03</v>
      </c>
      <c r="W101" s="70" t="s">
        <v>816</v>
      </c>
      <c r="X101" s="38" t="s">
        <v>576</v>
      </c>
      <c r="AL101" s="39" t="s">
        <v>29</v>
      </c>
      <c r="AM101" s="17" t="s">
        <v>21</v>
      </c>
      <c r="AN101" s="17">
        <v>350</v>
      </c>
      <c r="AO101" s="17" t="s">
        <v>22</v>
      </c>
      <c r="AP101" s="17" t="s">
        <v>377</v>
      </c>
      <c r="AQ101" s="181" t="s">
        <v>375</v>
      </c>
      <c r="AS101" s="4"/>
      <c r="AT101" s="4"/>
      <c r="AV101" s="447">
        <v>1</v>
      </c>
    </row>
    <row r="102" spans="1:48" ht="24.95" customHeight="1">
      <c r="A102" s="757"/>
      <c r="B102" s="10" t="s">
        <v>258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92"/>
      <c r="N102" s="3"/>
      <c r="T102" s="72">
        <v>14</v>
      </c>
      <c r="U102" s="203"/>
      <c r="V102" s="159">
        <v>1.01</v>
      </c>
      <c r="W102" s="70" t="s">
        <v>817</v>
      </c>
      <c r="X102" s="38" t="s">
        <v>576</v>
      </c>
      <c r="AL102" s="39" t="s">
        <v>280</v>
      </c>
      <c r="AM102" s="17" t="s">
        <v>21</v>
      </c>
      <c r="AN102" s="17">
        <v>350</v>
      </c>
      <c r="AO102" s="17" t="s">
        <v>22</v>
      </c>
      <c r="AP102" s="17" t="s">
        <v>280</v>
      </c>
      <c r="AQ102" s="181" t="s">
        <v>375</v>
      </c>
      <c r="AS102" s="4"/>
      <c r="AT102" s="4"/>
      <c r="AV102" s="447">
        <v>1</v>
      </c>
    </row>
    <row r="103" spans="1:48" ht="24.95" customHeight="1">
      <c r="A103" s="757"/>
      <c r="B103" s="102" t="s">
        <v>259</v>
      </c>
      <c r="C103" s="73" t="s">
        <v>7269</v>
      </c>
      <c r="D103" s="73"/>
      <c r="E103" s="73"/>
      <c r="F103" s="73"/>
      <c r="G103" s="73"/>
      <c r="H103" s="73"/>
      <c r="I103" s="73"/>
      <c r="J103" s="73"/>
      <c r="K103" s="73"/>
      <c r="L103" s="73"/>
      <c r="M103" s="74"/>
      <c r="N103" s="3"/>
      <c r="T103" s="72">
        <v>38</v>
      </c>
      <c r="U103" s="203"/>
      <c r="V103" s="159">
        <v>1.05</v>
      </c>
      <c r="W103" s="70" t="s">
        <v>818</v>
      </c>
      <c r="X103" s="38" t="s">
        <v>595</v>
      </c>
      <c r="AL103" s="39" t="s">
        <v>283</v>
      </c>
      <c r="AM103" s="17" t="s">
        <v>21</v>
      </c>
      <c r="AN103" s="17">
        <v>300</v>
      </c>
      <c r="AO103" s="17" t="s">
        <v>22</v>
      </c>
      <c r="AP103" s="17" t="s">
        <v>379</v>
      </c>
      <c r="AQ103" s="181" t="s">
        <v>375</v>
      </c>
      <c r="AS103" s="4"/>
      <c r="AT103" s="4"/>
      <c r="AV103" s="447">
        <v>1</v>
      </c>
    </row>
    <row r="104" spans="1:48" ht="24.95" customHeight="1">
      <c r="A104" s="757"/>
      <c r="B104" s="102" t="s">
        <v>262</v>
      </c>
      <c r="C104" s="73" t="s">
        <v>7270</v>
      </c>
      <c r="D104" s="73"/>
      <c r="E104" s="73"/>
      <c r="F104" s="73"/>
      <c r="G104" s="73"/>
      <c r="H104" s="73"/>
      <c r="I104" s="73"/>
      <c r="J104" s="73"/>
      <c r="K104" s="73"/>
      <c r="L104" s="73"/>
      <c r="M104" s="74"/>
      <c r="N104" s="3"/>
      <c r="T104" s="72">
        <v>15</v>
      </c>
      <c r="U104" s="203"/>
      <c r="V104" s="159">
        <v>1.02</v>
      </c>
      <c r="W104" s="70" t="s">
        <v>822</v>
      </c>
      <c r="X104" s="38" t="s">
        <v>666</v>
      </c>
      <c r="AL104" s="39" t="s">
        <v>299</v>
      </c>
      <c r="AM104" s="17" t="s">
        <v>21</v>
      </c>
      <c r="AN104" s="17">
        <v>240</v>
      </c>
      <c r="AO104" s="17" t="s">
        <v>22</v>
      </c>
      <c r="AP104" s="17" t="s">
        <v>381</v>
      </c>
      <c r="AQ104" s="181" t="s">
        <v>375</v>
      </c>
      <c r="AS104" s="4"/>
      <c r="AT104" s="4"/>
      <c r="AV104" s="447">
        <v>1</v>
      </c>
    </row>
    <row r="105" spans="1:48" ht="24.95" customHeight="1">
      <c r="A105" s="757"/>
      <c r="B105" s="104" t="s">
        <v>267</v>
      </c>
      <c r="C105" s="105" t="s">
        <v>124</v>
      </c>
      <c r="D105" s="73"/>
      <c r="E105" s="73"/>
      <c r="F105" s="73"/>
      <c r="G105" s="73"/>
      <c r="H105" s="73"/>
      <c r="I105" s="73"/>
      <c r="J105" s="73"/>
      <c r="K105" s="73"/>
      <c r="L105" s="73"/>
      <c r="M105" s="74"/>
      <c r="N105" s="3"/>
      <c r="T105" s="72">
        <v>26</v>
      </c>
      <c r="U105" s="203"/>
      <c r="V105" s="159">
        <v>1.04</v>
      </c>
      <c r="W105" s="70" t="s">
        <v>823</v>
      </c>
      <c r="X105" s="38" t="s">
        <v>595</v>
      </c>
      <c r="AL105" s="39" t="s">
        <v>313</v>
      </c>
      <c r="AM105" s="17" t="s">
        <v>21</v>
      </c>
      <c r="AN105" s="17">
        <v>200</v>
      </c>
      <c r="AO105" s="17" t="s">
        <v>22</v>
      </c>
      <c r="AP105" s="17" t="s">
        <v>383</v>
      </c>
      <c r="AQ105" s="181" t="s">
        <v>375</v>
      </c>
      <c r="AS105" s="4"/>
      <c r="AT105" s="4"/>
      <c r="AV105" s="447">
        <v>1</v>
      </c>
    </row>
    <row r="106" spans="1:48" ht="24.95" customHeight="1">
      <c r="A106" s="758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7" t="s">
        <v>272</v>
      </c>
      <c r="N106" s="3"/>
      <c r="T106" s="72">
        <v>35</v>
      </c>
      <c r="U106" s="203"/>
      <c r="V106" s="159">
        <v>1.03</v>
      </c>
      <c r="W106" s="70" t="s">
        <v>824</v>
      </c>
      <c r="X106" s="38" t="s">
        <v>570</v>
      </c>
      <c r="AL106" s="39" t="s">
        <v>316</v>
      </c>
      <c r="AM106" s="17" t="s">
        <v>21</v>
      </c>
      <c r="AN106" s="17">
        <v>150</v>
      </c>
      <c r="AO106" s="17" t="s">
        <v>22</v>
      </c>
      <c r="AP106" s="17" t="s">
        <v>384</v>
      </c>
      <c r="AQ106" s="181" t="s">
        <v>375</v>
      </c>
      <c r="AS106" s="4"/>
      <c r="AT106" s="4"/>
      <c r="AV106" s="447">
        <v>1</v>
      </c>
    </row>
    <row r="107" spans="1:48" ht="24.95" customHeight="1">
      <c r="N107" s="3"/>
      <c r="T107" s="72">
        <v>11</v>
      </c>
      <c r="U107" s="203"/>
      <c r="V107" s="159">
        <v>1.01</v>
      </c>
      <c r="W107" s="70" t="s">
        <v>828</v>
      </c>
      <c r="X107" s="38" t="s">
        <v>573</v>
      </c>
      <c r="AL107" s="39" t="s">
        <v>318</v>
      </c>
      <c r="AM107" s="17" t="s">
        <v>21</v>
      </c>
      <c r="AN107" s="17">
        <v>180</v>
      </c>
      <c r="AO107" s="17" t="s">
        <v>22</v>
      </c>
      <c r="AP107" s="17" t="s">
        <v>385</v>
      </c>
      <c r="AQ107" s="181" t="s">
        <v>375</v>
      </c>
      <c r="AS107" s="4"/>
      <c r="AT107" s="4"/>
      <c r="AV107" s="447">
        <v>1</v>
      </c>
    </row>
    <row r="108" spans="1:48" ht="24.95" customHeight="1">
      <c r="A108" s="149" t="s">
        <v>59</v>
      </c>
      <c r="B108" s="755" t="s">
        <v>60</v>
      </c>
      <c r="C108" s="755"/>
      <c r="D108" s="755"/>
      <c r="E108" s="755"/>
      <c r="F108" s="755"/>
      <c r="G108" s="755"/>
      <c r="H108" s="755"/>
      <c r="I108" s="755"/>
      <c r="J108" s="755"/>
      <c r="K108" s="755"/>
      <c r="L108" s="755"/>
      <c r="M108" s="755"/>
      <c r="N108" s="3"/>
      <c r="T108" s="72">
        <v>15</v>
      </c>
      <c r="U108" s="203"/>
      <c r="V108" s="159">
        <v>1.04</v>
      </c>
      <c r="W108" s="70" t="s">
        <v>829</v>
      </c>
      <c r="X108" s="38" t="s">
        <v>576</v>
      </c>
      <c r="AL108" s="39" t="s">
        <v>320</v>
      </c>
      <c r="AM108" s="17" t="s">
        <v>21</v>
      </c>
      <c r="AN108" s="17">
        <v>150</v>
      </c>
      <c r="AO108" s="17" t="s">
        <v>22</v>
      </c>
      <c r="AP108" s="17" t="s">
        <v>386</v>
      </c>
      <c r="AQ108" s="181" t="s">
        <v>375</v>
      </c>
      <c r="AS108" s="4"/>
      <c r="AT108" s="4"/>
      <c r="AV108" s="447">
        <v>1</v>
      </c>
    </row>
    <row r="109" spans="1:48" ht="24.95" customHeight="1">
      <c r="A109" s="757"/>
      <c r="B109" s="27" t="s">
        <v>67</v>
      </c>
      <c r="C109" s="28" t="s">
        <v>6668</v>
      </c>
      <c r="D109" s="28"/>
      <c r="E109" s="27" t="s">
        <v>69</v>
      </c>
      <c r="F109" s="355" t="s">
        <v>558</v>
      </c>
      <c r="G109" s="30"/>
      <c r="H109" s="27" t="s">
        <v>71</v>
      </c>
      <c r="I109" s="356" t="s">
        <v>564</v>
      </c>
      <c r="J109" s="30"/>
      <c r="K109" s="27" t="s">
        <v>73</v>
      </c>
      <c r="L109" s="714" t="s">
        <v>10</v>
      </c>
      <c r="M109" s="33"/>
      <c r="N109" s="3"/>
      <c r="T109" s="72">
        <v>38</v>
      </c>
      <c r="U109" s="203"/>
      <c r="V109" s="159">
        <v>0.96</v>
      </c>
      <c r="W109" s="70" t="s">
        <v>830</v>
      </c>
      <c r="X109" s="38" t="s">
        <v>576</v>
      </c>
      <c r="AL109" s="39" t="s">
        <v>336</v>
      </c>
      <c r="AM109" s="17" t="s">
        <v>21</v>
      </c>
      <c r="AN109" s="17">
        <v>270</v>
      </c>
      <c r="AO109" s="17" t="s">
        <v>22</v>
      </c>
      <c r="AP109" s="17" t="s">
        <v>387</v>
      </c>
      <c r="AQ109" s="181" t="s">
        <v>375</v>
      </c>
      <c r="AS109" s="4"/>
      <c r="AT109" s="4"/>
      <c r="AV109" s="447">
        <v>1</v>
      </c>
    </row>
    <row r="110" spans="1:48" ht="24.95" customHeight="1">
      <c r="A110" s="757"/>
      <c r="B110" s="27" t="s">
        <v>80</v>
      </c>
      <c r="C110" s="38" t="s">
        <v>561</v>
      </c>
      <c r="D110" s="30"/>
      <c r="E110" s="27" t="s">
        <v>82</v>
      </c>
      <c r="F110" s="39" t="s">
        <v>83</v>
      </c>
      <c r="G110" s="30"/>
      <c r="H110" s="27" t="s">
        <v>84</v>
      </c>
      <c r="I110" s="40">
        <v>1</v>
      </c>
      <c r="J110" s="41" t="s">
        <v>83</v>
      </c>
      <c r="K110" s="41"/>
      <c r="L110" s="42" t="s">
        <v>76</v>
      </c>
      <c r="M110" s="33"/>
      <c r="T110" s="72">
        <v>40</v>
      </c>
      <c r="U110" s="203"/>
      <c r="V110" s="159">
        <v>0.98</v>
      </c>
      <c r="W110" s="70" t="s">
        <v>834</v>
      </c>
      <c r="X110" s="38" t="s">
        <v>767</v>
      </c>
      <c r="AL110" s="39" t="s">
        <v>338</v>
      </c>
      <c r="AM110" s="17" t="s">
        <v>21</v>
      </c>
      <c r="AN110" s="17">
        <v>250</v>
      </c>
      <c r="AO110" s="17" t="s">
        <v>22</v>
      </c>
      <c r="AP110" s="17" t="s">
        <v>389</v>
      </c>
      <c r="AQ110" s="181" t="s">
        <v>375</v>
      </c>
      <c r="AS110" s="4"/>
      <c r="AT110" s="4"/>
      <c r="AV110" s="447">
        <v>1</v>
      </c>
    </row>
    <row r="111" spans="1:48" ht="24.95" customHeight="1">
      <c r="A111" s="757"/>
      <c r="B111" s="27" t="s">
        <v>94</v>
      </c>
      <c r="C111" s="151" t="s">
        <v>6670</v>
      </c>
      <c r="D111" s="30"/>
      <c r="E111" s="30"/>
      <c r="F111" s="30"/>
      <c r="G111" s="30"/>
      <c r="H111" s="27" t="s">
        <v>7267</v>
      </c>
      <c r="I111" s="48">
        <v>15</v>
      </c>
      <c r="J111" s="152" t="s">
        <v>32</v>
      </c>
      <c r="K111" s="30"/>
      <c r="L111" s="30"/>
      <c r="M111" s="33"/>
      <c r="N111" s="3"/>
      <c r="T111" s="72">
        <v>15</v>
      </c>
      <c r="U111" s="203"/>
      <c r="V111" s="159">
        <v>1.02</v>
      </c>
      <c r="W111" s="70" t="s">
        <v>835</v>
      </c>
      <c r="X111" s="38" t="s">
        <v>628</v>
      </c>
      <c r="AL111" s="39" t="s">
        <v>339</v>
      </c>
      <c r="AM111" s="17" t="s">
        <v>21</v>
      </c>
      <c r="AN111" s="17">
        <v>180</v>
      </c>
      <c r="AO111" s="17" t="s">
        <v>22</v>
      </c>
      <c r="AP111" s="17" t="s">
        <v>391</v>
      </c>
      <c r="AQ111" s="181" t="s">
        <v>375</v>
      </c>
      <c r="AS111" s="4"/>
      <c r="AT111" s="4"/>
      <c r="AV111" s="447">
        <v>1</v>
      </c>
    </row>
    <row r="112" spans="1:48" ht="24.95" customHeight="1">
      <c r="A112" s="757"/>
      <c r="B112" s="27"/>
      <c r="C112" s="52" t="str">
        <f>UPPER(LEFT(C109,1)) &amp; " . " &amp; UPPER(LEFT(C109,1)) &amp; LOWER(MID(C109,2,999)) &amp; " . " &amp; UPPER(LEFT(F109,1)) &amp; LOWER(MID(F109,2,999)) &amp; " . " &amp; UPPER(LEFT(I109,1)) &amp; LOWER(MID(I109,2,999)) &amp; " . " &amp; "Verre " &amp; UPPER(LEFT(F110,1)) &amp; LOWER(MID(F110,2,999)) &amp; IF(LEFT(L109,1)=UPPER(LEFT(L109,1)),".","") &amp; UPPER(LEFT(L109,1)) &amp; LOWER(MID(L109,2,999))&amp;"  couleur"&amp;" "&amp;C110&amp;"  intensité"&amp;" "&amp;C111</f>
        <v>N . Nom du cocktail . Avec ou sans alcool . Quand  . Verre Tumbler (old fashioned).Famille  couleur Couleur dominante à coller  intensité ****  précisez</v>
      </c>
      <c r="D112" s="52"/>
      <c r="E112" s="52"/>
      <c r="F112" s="52"/>
      <c r="G112" s="52"/>
      <c r="H112" s="52"/>
      <c r="I112" s="52"/>
      <c r="J112" s="52"/>
      <c r="K112" s="52"/>
      <c r="L112" s="30"/>
      <c r="M112" s="33"/>
      <c r="N112" s="3"/>
      <c r="T112" s="72">
        <v>15</v>
      </c>
      <c r="U112" s="203"/>
      <c r="V112" s="159">
        <v>1.02</v>
      </c>
      <c r="W112" s="70" t="s">
        <v>836</v>
      </c>
      <c r="X112" s="38" t="s">
        <v>605</v>
      </c>
      <c r="AL112" s="39" t="s">
        <v>341</v>
      </c>
      <c r="AM112" s="17" t="s">
        <v>21</v>
      </c>
      <c r="AN112" s="17">
        <v>400</v>
      </c>
      <c r="AO112" s="17" t="s">
        <v>22</v>
      </c>
      <c r="AP112" s="17" t="s">
        <v>392</v>
      </c>
      <c r="AQ112" s="181" t="s">
        <v>375</v>
      </c>
      <c r="AS112" s="4"/>
      <c r="AT112" s="4"/>
      <c r="AV112" s="447">
        <v>1</v>
      </c>
    </row>
    <row r="113" spans="1:48" ht="24.95" customHeight="1">
      <c r="A113" s="757"/>
      <c r="B113" s="27" t="s">
        <v>110</v>
      </c>
      <c r="C113" s="55" t="s">
        <v>111</v>
      </c>
      <c r="D113" s="55"/>
      <c r="E113" s="154"/>
      <c r="F113" s="154"/>
      <c r="G113" s="154"/>
      <c r="H113" s="154"/>
      <c r="I113" s="154"/>
      <c r="J113" s="154"/>
      <c r="K113" s="154"/>
      <c r="L113" s="30"/>
      <c r="M113" s="33"/>
      <c r="N113" s="3"/>
      <c r="T113" s="72">
        <v>40</v>
      </c>
      <c r="U113" s="203"/>
      <c r="V113" s="159">
        <v>1.03</v>
      </c>
      <c r="W113" s="70" t="s">
        <v>837</v>
      </c>
      <c r="X113" s="38" t="s">
        <v>704</v>
      </c>
      <c r="AL113" s="39" t="s">
        <v>349</v>
      </c>
      <c r="AM113" s="17" t="s">
        <v>21</v>
      </c>
      <c r="AN113" s="17">
        <v>240</v>
      </c>
      <c r="AO113" s="17" t="s">
        <v>22</v>
      </c>
      <c r="AP113" s="17" t="s">
        <v>393</v>
      </c>
      <c r="AQ113" s="181" t="s">
        <v>375</v>
      </c>
      <c r="AS113" s="4"/>
      <c r="AT113" s="4"/>
      <c r="AV113" s="447">
        <v>1</v>
      </c>
    </row>
    <row r="114" spans="1:48" ht="24.95" customHeight="1">
      <c r="A114" s="757"/>
      <c r="B114" s="30"/>
      <c r="C114" s="30"/>
      <c r="D114" s="30"/>
      <c r="E114" s="30"/>
      <c r="F114" s="30"/>
      <c r="G114" s="30"/>
      <c r="H114" s="206"/>
      <c r="I114" s="30"/>
      <c r="J114" s="30"/>
      <c r="K114" s="30"/>
      <c r="L114" s="30"/>
      <c r="M114" s="33"/>
      <c r="N114" s="3"/>
      <c r="T114" s="72">
        <v>40</v>
      </c>
      <c r="U114" s="203"/>
      <c r="V114" s="159">
        <v>1.03</v>
      </c>
      <c r="W114" s="70" t="s">
        <v>838</v>
      </c>
      <c r="X114" s="38" t="s">
        <v>576</v>
      </c>
      <c r="AL114" s="39" t="s">
        <v>363</v>
      </c>
      <c r="AM114" s="17" t="s">
        <v>21</v>
      </c>
      <c r="AN114" s="17">
        <v>25</v>
      </c>
      <c r="AO114" s="17" t="s">
        <v>22</v>
      </c>
      <c r="AP114" s="17" t="s">
        <v>394</v>
      </c>
      <c r="AQ114" s="181" t="s">
        <v>375</v>
      </c>
      <c r="AS114" s="4"/>
      <c r="AT114" s="4"/>
      <c r="AV114" s="447">
        <v>1</v>
      </c>
    </row>
    <row r="115" spans="1:48" ht="24.95" customHeight="1">
      <c r="A115" s="757"/>
      <c r="B115" s="57" t="s">
        <v>121</v>
      </c>
      <c r="C115" s="58" t="s">
        <v>568</v>
      </c>
      <c r="D115" s="58"/>
      <c r="E115" s="59"/>
      <c r="F115" s="57" t="s">
        <v>123</v>
      </c>
      <c r="G115" s="58"/>
      <c r="H115" s="60"/>
      <c r="I115" s="60"/>
      <c r="J115" s="61"/>
      <c r="K115" s="61"/>
      <c r="L115" s="61"/>
      <c r="M115" s="62"/>
      <c r="N115" s="3"/>
      <c r="T115" s="72">
        <v>40</v>
      </c>
      <c r="U115" s="203"/>
      <c r="V115" s="159">
        <v>0.95</v>
      </c>
      <c r="W115" s="70" t="s">
        <v>839</v>
      </c>
      <c r="X115" s="38" t="s">
        <v>595</v>
      </c>
      <c r="AL115" s="39" t="s">
        <v>366</v>
      </c>
      <c r="AM115" s="17" t="s">
        <v>21</v>
      </c>
      <c r="AN115" s="17">
        <v>350</v>
      </c>
      <c r="AO115" s="17" t="s">
        <v>22</v>
      </c>
      <c r="AP115" s="17" t="s">
        <v>395</v>
      </c>
      <c r="AQ115" s="181" t="s">
        <v>375</v>
      </c>
      <c r="AS115" s="4"/>
      <c r="AT115" s="4"/>
      <c r="AV115" s="447">
        <v>1</v>
      </c>
    </row>
    <row r="116" spans="1:48" ht="24.95" customHeight="1">
      <c r="A116" s="757"/>
      <c r="B116" s="10" t="s">
        <v>131</v>
      </c>
      <c r="C116" s="10" t="s">
        <v>132</v>
      </c>
      <c r="D116" s="10"/>
      <c r="E116" s="10"/>
      <c r="F116" s="10"/>
      <c r="G116" s="10"/>
      <c r="H116" s="10"/>
      <c r="I116" s="10"/>
      <c r="J116" s="11" t="str">
        <f>IF(COUNTIF(C118:C124,"*~**")+COUNTIF(C118:C124,"*~?*")=0,"",IF(COUNTIF(C118:C124,"*~**")&gt;0,COUNTIF(C118:C124,"*~**")&amp;" allergène"&amp;IF(COUNTIF(C118:C124,"*~**")&gt;1,"s","")&amp;" repéré"&amp;IF(COUNTIF(C118:C124,"*~**")&gt;1,"s","")&amp;" par *","")&amp;IF(AND(COUNTIF(C118:C124,"*~**")&gt;0,COUNTIF(C118:C124,"*~?*")&gt;0)," | ","")&amp;IF(COUNTIF(C118:C124,"*~?*")&gt;0,COUNTIF(C118:C124,"*~?*")&amp;" produit"&amp;IF(COUNTIF(C118:C124,"*~?*")&gt;1,"s","")&amp;" à vérifier par ?",""))</f>
        <v/>
      </c>
      <c r="K116" s="10"/>
      <c r="L116" s="10"/>
      <c r="M116" s="63"/>
      <c r="N116" s="3"/>
      <c r="S116" s="446"/>
      <c r="T116" s="72">
        <v>40</v>
      </c>
      <c r="U116" s="203"/>
      <c r="V116" s="159">
        <v>0.94</v>
      </c>
      <c r="W116" s="70" t="s">
        <v>840</v>
      </c>
      <c r="X116" s="38" t="s">
        <v>595</v>
      </c>
      <c r="Y116" s="446"/>
      <c r="AL116" s="39" t="s">
        <v>369</v>
      </c>
      <c r="AM116" s="17" t="s">
        <v>21</v>
      </c>
      <c r="AN116" s="17">
        <v>240</v>
      </c>
      <c r="AO116" s="17" t="s">
        <v>22</v>
      </c>
      <c r="AP116" s="17" t="s">
        <v>396</v>
      </c>
      <c r="AQ116" s="181" t="s">
        <v>375</v>
      </c>
      <c r="AS116" s="4"/>
      <c r="AT116" s="4"/>
      <c r="AV116" s="447">
        <v>1</v>
      </c>
    </row>
    <row r="117" spans="1:48" ht="24.95" customHeight="1">
      <c r="A117" s="757"/>
      <c r="B117" s="66">
        <v>0</v>
      </c>
      <c r="C117" s="64" t="s">
        <v>141</v>
      </c>
      <c r="D117" s="65" t="s">
        <v>142</v>
      </c>
      <c r="E117" s="64" t="s">
        <v>9</v>
      </c>
      <c r="F117" s="66" t="s">
        <v>143</v>
      </c>
      <c r="G117" s="66" t="s">
        <v>144</v>
      </c>
      <c r="H117" s="66" t="s">
        <v>145</v>
      </c>
      <c r="I117" s="67" t="s">
        <v>146</v>
      </c>
      <c r="J117" s="67" t="s">
        <v>847</v>
      </c>
      <c r="K117" s="67" t="s">
        <v>148</v>
      </c>
      <c r="L117" s="67" t="s">
        <v>149</v>
      </c>
      <c r="M117" s="68" t="s">
        <v>150</v>
      </c>
      <c r="N117" s="3"/>
      <c r="S117" s="198"/>
      <c r="T117" s="72">
        <v>15</v>
      </c>
      <c r="U117" s="203"/>
      <c r="V117" s="159">
        <v>1.02</v>
      </c>
      <c r="W117" s="70" t="s">
        <v>841</v>
      </c>
      <c r="X117" s="38" t="s">
        <v>595</v>
      </c>
      <c r="Y117" s="198"/>
      <c r="AL117" s="39" t="s">
        <v>378</v>
      </c>
      <c r="AM117" s="17" t="s">
        <v>21</v>
      </c>
      <c r="AN117" s="17">
        <v>250</v>
      </c>
      <c r="AO117" s="17" t="s">
        <v>22</v>
      </c>
      <c r="AP117" s="17" t="s">
        <v>378</v>
      </c>
      <c r="AQ117" s="181" t="s">
        <v>375</v>
      </c>
      <c r="AS117" s="4"/>
      <c r="AT117" s="4"/>
      <c r="AV117" s="447">
        <v>1</v>
      </c>
    </row>
    <row r="118" spans="1:48" ht="24.95" customHeight="1">
      <c r="A118" s="757"/>
      <c r="B118" s="158">
        <v>1</v>
      </c>
      <c r="C118" s="70"/>
      <c r="D118" s="79"/>
      <c r="E118" s="3"/>
      <c r="F118" s="72"/>
      <c r="G118" s="159"/>
      <c r="H118" s="160"/>
      <c r="I118" s="161"/>
      <c r="J118" s="73" t="s">
        <v>849</v>
      </c>
      <c r="K118" s="73"/>
      <c r="L118" s="73"/>
      <c r="M118" s="74"/>
      <c r="N118" s="3"/>
      <c r="S118" s="383"/>
      <c r="T118" s="383"/>
      <c r="U118" s="383"/>
      <c r="V118" s="383"/>
      <c r="W118" s="383"/>
      <c r="X118" s="383"/>
      <c r="Y118" s="383"/>
      <c r="AL118" s="39" t="s">
        <v>380</v>
      </c>
      <c r="AM118" s="17" t="s">
        <v>21</v>
      </c>
      <c r="AN118" s="17">
        <v>150</v>
      </c>
      <c r="AO118" s="17" t="s">
        <v>22</v>
      </c>
      <c r="AP118" s="17" t="s">
        <v>380</v>
      </c>
      <c r="AQ118" s="181" t="s">
        <v>375</v>
      </c>
      <c r="AS118" s="4"/>
      <c r="AT118" s="4"/>
      <c r="AV118" s="447">
        <v>1</v>
      </c>
    </row>
    <row r="119" spans="1:48" ht="24.95" customHeight="1">
      <c r="A119" s="757"/>
      <c r="B119" s="162">
        <v>2</v>
      </c>
      <c r="C119" s="70"/>
      <c r="D119" s="79"/>
      <c r="E119" s="3"/>
      <c r="F119" s="72"/>
      <c r="G119" s="159"/>
      <c r="H119" s="160"/>
      <c r="I119" s="161"/>
      <c r="J119" s="73" t="s">
        <v>6989</v>
      </c>
      <c r="K119" s="73"/>
      <c r="L119" s="73"/>
      <c r="M119" s="74"/>
      <c r="N119" s="3"/>
      <c r="AL119" s="39" t="s">
        <v>382</v>
      </c>
      <c r="AM119" s="17" t="s">
        <v>21</v>
      </c>
      <c r="AN119" s="17">
        <v>150</v>
      </c>
      <c r="AO119" s="17" t="s">
        <v>22</v>
      </c>
      <c r="AP119" s="17" t="s">
        <v>397</v>
      </c>
      <c r="AQ119" s="181" t="s">
        <v>375</v>
      </c>
      <c r="AS119" s="4"/>
      <c r="AT119" s="4"/>
      <c r="AV119" s="447">
        <v>1</v>
      </c>
    </row>
    <row r="120" spans="1:48" ht="24.95" customHeight="1">
      <c r="A120" s="757"/>
      <c r="B120" s="158">
        <v>3</v>
      </c>
      <c r="C120" s="70"/>
      <c r="D120" s="79"/>
      <c r="E120" s="3"/>
      <c r="F120" s="72"/>
      <c r="G120" s="159"/>
      <c r="H120" s="160"/>
      <c r="I120" s="161"/>
      <c r="J120" s="73" t="s">
        <v>6990</v>
      </c>
      <c r="K120" s="73"/>
      <c r="L120" s="73"/>
      <c r="M120" s="74"/>
      <c r="N120" s="3"/>
      <c r="AL120" s="39" t="s">
        <v>388</v>
      </c>
      <c r="AM120" s="17" t="s">
        <v>21</v>
      </c>
      <c r="AN120" s="17">
        <v>400</v>
      </c>
      <c r="AO120" s="17" t="s">
        <v>22</v>
      </c>
      <c r="AP120" s="17" t="s">
        <v>398</v>
      </c>
      <c r="AQ120" s="181" t="s">
        <v>375</v>
      </c>
      <c r="AS120" s="4"/>
      <c r="AT120" s="4"/>
      <c r="AV120" s="447">
        <v>1</v>
      </c>
    </row>
    <row r="121" spans="1:48" ht="24.95" customHeight="1">
      <c r="A121" s="757"/>
      <c r="B121" s="162">
        <v>4</v>
      </c>
      <c r="C121" s="70"/>
      <c r="D121" s="79"/>
      <c r="E121" s="3"/>
      <c r="F121" s="72"/>
      <c r="G121" s="159"/>
      <c r="H121" s="160"/>
      <c r="I121" s="161"/>
      <c r="J121" s="73" t="s">
        <v>6991</v>
      </c>
      <c r="K121" s="73"/>
      <c r="L121" s="73"/>
      <c r="M121" s="74"/>
      <c r="N121" s="3"/>
      <c r="AL121" s="39" t="s">
        <v>390</v>
      </c>
      <c r="AM121" s="17" t="s">
        <v>21</v>
      </c>
      <c r="AN121" s="17">
        <v>250</v>
      </c>
      <c r="AO121" s="17" t="s">
        <v>22</v>
      </c>
      <c r="AP121" s="17" t="s">
        <v>399</v>
      </c>
      <c r="AQ121" s="181" t="s">
        <v>375</v>
      </c>
      <c r="AS121" s="4"/>
      <c r="AT121" s="4"/>
      <c r="AV121" s="447">
        <v>1</v>
      </c>
    </row>
    <row r="122" spans="1:48" ht="24.95" customHeight="1">
      <c r="A122" s="757"/>
      <c r="B122" s="158">
        <v>5</v>
      </c>
      <c r="C122" s="70"/>
      <c r="D122" s="79"/>
      <c r="E122" s="3"/>
      <c r="F122" s="72"/>
      <c r="G122" s="159"/>
      <c r="H122" s="160"/>
      <c r="I122" s="161"/>
      <c r="J122" s="73" t="s">
        <v>6992</v>
      </c>
      <c r="K122" s="73"/>
      <c r="L122" s="73"/>
      <c r="M122" s="74"/>
      <c r="N122" s="3"/>
      <c r="AV122" s="447">
        <v>1</v>
      </c>
    </row>
    <row r="123" spans="1:48" ht="24.95" customHeight="1">
      <c r="A123" s="757"/>
      <c r="B123" s="162"/>
      <c r="C123" s="70"/>
      <c r="D123" s="79"/>
      <c r="E123" s="3"/>
      <c r="F123" s="72"/>
      <c r="G123" s="159"/>
      <c r="H123" s="160"/>
      <c r="I123" s="161"/>
      <c r="J123" s="73" t="s">
        <v>243</v>
      </c>
      <c r="K123" s="73"/>
      <c r="L123" s="73"/>
      <c r="M123" s="74"/>
      <c r="N123" s="3"/>
      <c r="O123" s="447">
        <v>1</v>
      </c>
      <c r="P123" s="447">
        <v>1</v>
      </c>
      <c r="Q123" s="447">
        <v>1</v>
      </c>
      <c r="R123" s="447">
        <v>1</v>
      </c>
      <c r="S123" s="447">
        <v>1</v>
      </c>
      <c r="T123" s="447">
        <v>1</v>
      </c>
      <c r="U123" s="447">
        <v>1</v>
      </c>
      <c r="V123" s="447">
        <v>1</v>
      </c>
      <c r="W123" s="447">
        <v>1</v>
      </c>
      <c r="X123" s="447">
        <v>1</v>
      </c>
      <c r="Y123" s="447">
        <v>1</v>
      </c>
      <c r="Z123" s="447">
        <v>1</v>
      </c>
      <c r="AA123" s="447">
        <v>1</v>
      </c>
      <c r="AB123" s="447">
        <v>1</v>
      </c>
      <c r="AC123" s="447">
        <v>1</v>
      </c>
      <c r="AD123" s="447">
        <v>1</v>
      </c>
      <c r="AE123" s="447">
        <v>1</v>
      </c>
      <c r="AF123" s="447">
        <v>1</v>
      </c>
      <c r="AG123" s="447">
        <v>1</v>
      </c>
      <c r="AH123" s="447">
        <v>1</v>
      </c>
      <c r="AI123" s="447">
        <v>1</v>
      </c>
      <c r="AJ123" s="447">
        <v>1</v>
      </c>
      <c r="AK123" s="447">
        <v>1</v>
      </c>
      <c r="AL123" s="447">
        <v>1</v>
      </c>
      <c r="AM123" s="447">
        <v>1</v>
      </c>
      <c r="AN123" s="447">
        <v>1</v>
      </c>
      <c r="AO123" s="447">
        <v>1</v>
      </c>
      <c r="AP123" s="447">
        <v>1</v>
      </c>
      <c r="AQ123" s="447">
        <v>1</v>
      </c>
      <c r="AR123" s="447">
        <v>1</v>
      </c>
      <c r="AS123" s="447">
        <v>1</v>
      </c>
      <c r="AT123" s="447">
        <v>1</v>
      </c>
      <c r="AU123" s="447">
        <v>1</v>
      </c>
      <c r="AV123" s="448" t="s">
        <v>842</v>
      </c>
    </row>
    <row r="124" spans="1:48" ht="24.95" customHeight="1">
      <c r="A124" s="757"/>
      <c r="B124" s="158"/>
      <c r="C124" s="70"/>
      <c r="D124" s="79"/>
      <c r="E124" s="3"/>
      <c r="F124" s="72"/>
      <c r="G124" s="159"/>
      <c r="H124" s="160"/>
      <c r="I124" s="161"/>
      <c r="J124" s="73" t="s">
        <v>6995</v>
      </c>
      <c r="K124" s="73"/>
      <c r="L124" s="73"/>
      <c r="M124" s="74"/>
      <c r="N124" s="3"/>
    </row>
    <row r="125" spans="1:48" ht="24.95" customHeight="1">
      <c r="A125" s="757"/>
      <c r="B125" s="14" t="s">
        <v>44</v>
      </c>
      <c r="C125" s="146" t="s">
        <v>198</v>
      </c>
      <c r="D125" s="89"/>
      <c r="E125" s="89"/>
      <c r="F125" s="89"/>
      <c r="G125" s="89"/>
      <c r="H125" s="89"/>
      <c r="I125" s="89"/>
      <c r="J125" s="89" t="s">
        <v>6996</v>
      </c>
      <c r="K125" s="89"/>
      <c r="L125" s="89"/>
      <c r="M125" s="90"/>
      <c r="N125" s="3"/>
    </row>
    <row r="126" spans="1:48" ht="24.95" customHeight="1">
      <c r="A126" s="757"/>
      <c r="B126" s="91">
        <v>0</v>
      </c>
      <c r="C126" s="10" t="s">
        <v>491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92"/>
      <c r="N126" s="3"/>
    </row>
    <row r="127" spans="1:48" ht="24.95" customHeight="1">
      <c r="A127" s="757"/>
      <c r="B127" s="95">
        <v>1</v>
      </c>
      <c r="C127" s="96" t="s">
        <v>7268</v>
      </c>
      <c r="D127" s="96"/>
      <c r="E127" s="96"/>
      <c r="F127" s="96"/>
      <c r="G127" s="96"/>
      <c r="H127" s="96"/>
      <c r="I127" s="96"/>
      <c r="J127" s="96"/>
      <c r="K127" s="96"/>
      <c r="L127" s="96"/>
      <c r="M127" s="74"/>
      <c r="N127" s="3"/>
    </row>
    <row r="128" spans="1:48" ht="24.95" customHeight="1">
      <c r="A128" s="757"/>
      <c r="B128" s="95">
        <v>2</v>
      </c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74"/>
      <c r="N128" s="3"/>
    </row>
    <row r="129" spans="1:14" ht="24.95" customHeight="1">
      <c r="A129" s="757"/>
      <c r="B129" s="95">
        <v>3</v>
      </c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74"/>
      <c r="N129" s="3"/>
    </row>
    <row r="130" spans="1:14" ht="24.95" customHeight="1">
      <c r="A130" s="757"/>
      <c r="B130" s="95">
        <v>4</v>
      </c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74"/>
      <c r="N130" s="3"/>
    </row>
    <row r="131" spans="1:14" ht="24.95" customHeight="1">
      <c r="A131" s="757"/>
      <c r="B131" s="95">
        <v>5</v>
      </c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74"/>
      <c r="N131" s="3"/>
    </row>
    <row r="132" spans="1:14" ht="24.95" customHeight="1">
      <c r="A132" s="757"/>
      <c r="B132" s="95">
        <v>6</v>
      </c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74"/>
      <c r="N132" s="3"/>
    </row>
    <row r="133" spans="1:14" ht="24.95" customHeight="1">
      <c r="A133" s="757"/>
      <c r="B133" s="95">
        <v>7</v>
      </c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74"/>
      <c r="N133" s="3"/>
    </row>
    <row r="134" spans="1:14" ht="24.95" customHeight="1">
      <c r="A134" s="757"/>
      <c r="B134" s="95">
        <v>8</v>
      </c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74"/>
      <c r="N134" s="3"/>
    </row>
    <row r="135" spans="1:14" ht="24.95" customHeight="1">
      <c r="A135" s="757"/>
      <c r="B135" s="101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90"/>
      <c r="N135" s="3"/>
    </row>
    <row r="136" spans="1:14" ht="24.95" customHeight="1">
      <c r="A136" s="757"/>
      <c r="B136" s="10" t="s">
        <v>258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92"/>
      <c r="N136" s="3"/>
    </row>
    <row r="137" spans="1:14" ht="24.95" customHeight="1">
      <c r="A137" s="757"/>
      <c r="B137" s="102" t="s">
        <v>259</v>
      </c>
      <c r="C137" s="73" t="s">
        <v>7269</v>
      </c>
      <c r="D137" s="73"/>
      <c r="E137" s="73"/>
      <c r="F137" s="73"/>
      <c r="G137" s="73"/>
      <c r="H137" s="73"/>
      <c r="I137" s="73"/>
      <c r="J137" s="73"/>
      <c r="K137" s="73"/>
      <c r="L137" s="73"/>
      <c r="M137" s="74"/>
      <c r="N137" s="3"/>
    </row>
    <row r="138" spans="1:14" ht="24.95" customHeight="1">
      <c r="A138" s="757"/>
      <c r="B138" s="102" t="s">
        <v>262</v>
      </c>
      <c r="C138" s="73" t="s">
        <v>7270</v>
      </c>
      <c r="D138" s="73"/>
      <c r="E138" s="73"/>
      <c r="F138" s="73"/>
      <c r="G138" s="73"/>
      <c r="H138" s="73"/>
      <c r="I138" s="73"/>
      <c r="J138" s="73"/>
      <c r="K138" s="73"/>
      <c r="L138" s="73"/>
      <c r="M138" s="74"/>
      <c r="N138" s="3"/>
    </row>
    <row r="139" spans="1:14" ht="24.95" customHeight="1">
      <c r="A139" s="757"/>
      <c r="B139" s="104" t="s">
        <v>267</v>
      </c>
      <c r="C139" s="105" t="s">
        <v>124</v>
      </c>
      <c r="D139" s="73"/>
      <c r="E139" s="73"/>
      <c r="F139" s="73"/>
      <c r="G139" s="73"/>
      <c r="H139" s="73"/>
      <c r="I139" s="73"/>
      <c r="J139" s="73"/>
      <c r="K139" s="73"/>
      <c r="L139" s="73"/>
      <c r="M139" s="74"/>
      <c r="N139" s="3"/>
    </row>
    <row r="140" spans="1:14" ht="24.95" customHeight="1">
      <c r="A140" s="758"/>
      <c r="B140" s="106"/>
      <c r="C140" s="106"/>
      <c r="D140" s="106"/>
      <c r="E140" s="106"/>
      <c r="F140" s="106"/>
      <c r="G140" s="106"/>
      <c r="H140" s="106"/>
      <c r="I140" s="106"/>
      <c r="J140" s="106"/>
      <c r="K140" s="106"/>
      <c r="L140" s="106"/>
      <c r="M140" s="107" t="s">
        <v>272</v>
      </c>
      <c r="N140" s="3"/>
    </row>
    <row r="141" spans="1:14" ht="24.95" customHeight="1">
      <c r="N141" s="3"/>
    </row>
    <row r="142" spans="1:14" ht="24.95" customHeight="1">
      <c r="A142" s="149" t="s">
        <v>59</v>
      </c>
      <c r="B142" s="755" t="s">
        <v>60</v>
      </c>
      <c r="C142" s="755"/>
      <c r="D142" s="755"/>
      <c r="E142" s="755"/>
      <c r="F142" s="755"/>
      <c r="G142" s="755"/>
      <c r="H142" s="755"/>
      <c r="I142" s="755"/>
      <c r="J142" s="755"/>
      <c r="K142" s="755"/>
      <c r="L142" s="755"/>
      <c r="M142" s="755"/>
      <c r="N142" s="3"/>
    </row>
    <row r="143" spans="1:14" ht="24.95" customHeight="1">
      <c r="A143" s="757"/>
      <c r="B143" s="27" t="s">
        <v>67</v>
      </c>
      <c r="C143" s="28" t="s">
        <v>6668</v>
      </c>
      <c r="D143" s="28"/>
      <c r="E143" s="27" t="s">
        <v>69</v>
      </c>
      <c r="F143" s="355" t="s">
        <v>558</v>
      </c>
      <c r="G143" s="30"/>
      <c r="H143" s="27" t="s">
        <v>71</v>
      </c>
      <c r="I143" s="356" t="s">
        <v>564</v>
      </c>
      <c r="J143" s="30"/>
      <c r="K143" s="27" t="s">
        <v>73</v>
      </c>
      <c r="L143" s="714" t="s">
        <v>10</v>
      </c>
      <c r="M143" s="33"/>
      <c r="N143" s="3"/>
    </row>
    <row r="144" spans="1:14" ht="24.95" customHeight="1">
      <c r="A144" s="757"/>
      <c r="B144" s="27" t="s">
        <v>80</v>
      </c>
      <c r="C144" s="38" t="s">
        <v>561</v>
      </c>
      <c r="D144" s="30"/>
      <c r="E144" s="27" t="s">
        <v>82</v>
      </c>
      <c r="F144" s="39" t="s">
        <v>83</v>
      </c>
      <c r="G144" s="30"/>
      <c r="H144" s="27" t="s">
        <v>84</v>
      </c>
      <c r="I144" s="40">
        <v>1</v>
      </c>
      <c r="J144" s="41" t="s">
        <v>83</v>
      </c>
      <c r="K144" s="41"/>
      <c r="L144" s="42" t="s">
        <v>76</v>
      </c>
      <c r="M144" s="33"/>
      <c r="N144" s="3"/>
    </row>
    <row r="145" spans="1:14" ht="24.95" customHeight="1">
      <c r="A145" s="757"/>
      <c r="B145" s="27" t="s">
        <v>94</v>
      </c>
      <c r="C145" s="151" t="s">
        <v>6670</v>
      </c>
      <c r="D145" s="30"/>
      <c r="E145" s="30"/>
      <c r="F145" s="30"/>
      <c r="G145" s="30"/>
      <c r="H145" s="27" t="s">
        <v>7267</v>
      </c>
      <c r="I145" s="48">
        <v>15</v>
      </c>
      <c r="J145" s="152" t="s">
        <v>32</v>
      </c>
      <c r="K145" s="30"/>
      <c r="L145" s="30"/>
      <c r="M145" s="33"/>
    </row>
    <row r="146" spans="1:14" ht="24.95" customHeight="1">
      <c r="A146" s="757"/>
      <c r="B146" s="27"/>
      <c r="C146" s="52" t="str">
        <f>UPPER(LEFT(C143,1)) &amp; " . " &amp; UPPER(LEFT(C143,1)) &amp; LOWER(MID(C143,2,999)) &amp; " . " &amp; UPPER(LEFT(F143,1)) &amp; LOWER(MID(F143,2,999)) &amp; " . " &amp; UPPER(LEFT(I143,1)) &amp; LOWER(MID(I143,2,999)) &amp; " . " &amp; "Verre " &amp; UPPER(LEFT(F144,1)) &amp; LOWER(MID(F144,2,999)) &amp; IF(LEFT(L143,1)=UPPER(LEFT(L143,1)),".","") &amp; UPPER(LEFT(L143,1)) &amp; LOWER(MID(L143,2,999))&amp;"  couleur"&amp;" "&amp;C144&amp;"  intensité"&amp;" "&amp;C145</f>
        <v>N . Nom du cocktail . Avec ou sans alcool . Quand  . Verre Tumbler (old fashioned).Famille  couleur Couleur dominante à coller  intensité ****  précisez</v>
      </c>
      <c r="D146" s="52"/>
      <c r="E146" s="52"/>
      <c r="F146" s="52"/>
      <c r="G146" s="52"/>
      <c r="H146" s="52"/>
      <c r="I146" s="52"/>
      <c r="J146" s="52"/>
      <c r="K146" s="52"/>
      <c r="L146" s="30"/>
      <c r="M146" s="33"/>
      <c r="N146" s="3"/>
    </row>
    <row r="147" spans="1:14" ht="24.95" customHeight="1">
      <c r="A147" s="757"/>
      <c r="B147" s="27" t="s">
        <v>110</v>
      </c>
      <c r="C147" s="55" t="s">
        <v>111</v>
      </c>
      <c r="D147" s="55"/>
      <c r="E147" s="154"/>
      <c r="F147" s="154"/>
      <c r="G147" s="154"/>
      <c r="H147" s="154"/>
      <c r="I147" s="154"/>
      <c r="J147" s="154"/>
      <c r="K147" s="154"/>
      <c r="L147" s="30"/>
      <c r="M147" s="33"/>
      <c r="N147" s="3"/>
    </row>
    <row r="148" spans="1:14" ht="24.95" customHeight="1">
      <c r="A148" s="757"/>
      <c r="B148" s="30"/>
      <c r="C148" s="30"/>
      <c r="D148" s="30"/>
      <c r="E148" s="30"/>
      <c r="F148" s="30"/>
      <c r="G148" s="30"/>
      <c r="H148" s="206"/>
      <c r="I148" s="30"/>
      <c r="J148" s="30"/>
      <c r="K148" s="30"/>
      <c r="L148" s="30"/>
      <c r="M148" s="33"/>
      <c r="N148" s="3"/>
    </row>
    <row r="149" spans="1:14" ht="24.95" customHeight="1">
      <c r="A149" s="757"/>
      <c r="B149" s="57" t="s">
        <v>121</v>
      </c>
      <c r="C149" s="58" t="s">
        <v>568</v>
      </c>
      <c r="D149" s="58"/>
      <c r="E149" s="59"/>
      <c r="F149" s="57" t="s">
        <v>123</v>
      </c>
      <c r="G149" s="58"/>
      <c r="H149" s="60"/>
      <c r="I149" s="60"/>
      <c r="J149" s="61"/>
      <c r="K149" s="61"/>
      <c r="L149" s="61"/>
      <c r="M149" s="62"/>
      <c r="N149" s="3"/>
    </row>
    <row r="150" spans="1:14" ht="24.95" customHeight="1">
      <c r="A150" s="757"/>
      <c r="B150" s="10" t="s">
        <v>131</v>
      </c>
      <c r="C150" s="10" t="s">
        <v>132</v>
      </c>
      <c r="D150" s="10"/>
      <c r="E150" s="10"/>
      <c r="F150" s="10"/>
      <c r="G150" s="10"/>
      <c r="H150" s="10"/>
      <c r="I150" s="10"/>
      <c r="J150" s="11" t="str">
        <f>IF(COUNTIF(C152:C158,"*~**")+COUNTIF(C152:C158,"*~?*")=0,"",IF(COUNTIF(C152:C158,"*~**")&gt;0,COUNTIF(C152:C158,"*~**")&amp;" allergène"&amp;IF(COUNTIF(C152:C158,"*~**")&gt;1,"s","")&amp;" repéré"&amp;IF(COUNTIF(C152:C158,"*~**")&gt;1,"s","")&amp;" par *","")&amp;IF(AND(COUNTIF(C152:C158,"*~**")&gt;0,COUNTIF(C152:C158,"*~?*")&gt;0)," | ","")&amp;IF(COUNTIF(C152:C158,"*~?*")&gt;0,COUNTIF(C152:C158,"*~?*")&amp;" produit"&amp;IF(COUNTIF(C152:C158,"*~?*")&gt;1,"s","")&amp;" à vérifier par ?",""))</f>
        <v/>
      </c>
      <c r="K150" s="10"/>
      <c r="L150" s="10"/>
      <c r="M150" s="63"/>
      <c r="N150" s="3"/>
    </row>
    <row r="151" spans="1:14" ht="24.95" customHeight="1">
      <c r="A151" s="757"/>
      <c r="B151" s="66">
        <v>0</v>
      </c>
      <c r="C151" s="64" t="s">
        <v>141</v>
      </c>
      <c r="D151" s="65" t="s">
        <v>142</v>
      </c>
      <c r="E151" s="64" t="s">
        <v>9</v>
      </c>
      <c r="F151" s="66" t="s">
        <v>143</v>
      </c>
      <c r="G151" s="66" t="s">
        <v>144</v>
      </c>
      <c r="H151" s="66" t="s">
        <v>145</v>
      </c>
      <c r="I151" s="67" t="s">
        <v>146</v>
      </c>
      <c r="J151" s="67" t="s">
        <v>847</v>
      </c>
      <c r="K151" s="67" t="s">
        <v>148</v>
      </c>
      <c r="L151" s="67" t="s">
        <v>149</v>
      </c>
      <c r="M151" s="68" t="s">
        <v>150</v>
      </c>
      <c r="N151" s="3"/>
    </row>
    <row r="152" spans="1:14" ht="24.95" customHeight="1">
      <c r="A152" s="757"/>
      <c r="B152" s="158">
        <v>1</v>
      </c>
      <c r="C152" s="70"/>
      <c r="D152" s="79"/>
      <c r="E152" s="3"/>
      <c r="F152" s="72"/>
      <c r="G152" s="159"/>
      <c r="H152" s="160"/>
      <c r="I152" s="161"/>
      <c r="J152" s="73" t="s">
        <v>849</v>
      </c>
      <c r="K152" s="73"/>
      <c r="L152" s="73"/>
      <c r="M152" s="74"/>
      <c r="N152" s="3"/>
    </row>
    <row r="153" spans="1:14" ht="24.95" customHeight="1">
      <c r="A153" s="757"/>
      <c r="B153" s="162">
        <v>2</v>
      </c>
      <c r="C153" s="70"/>
      <c r="D153" s="79"/>
      <c r="E153" s="3"/>
      <c r="F153" s="72"/>
      <c r="G153" s="159"/>
      <c r="H153" s="160"/>
      <c r="I153" s="161"/>
      <c r="J153" s="73" t="s">
        <v>6989</v>
      </c>
      <c r="K153" s="73"/>
      <c r="L153" s="73"/>
      <c r="M153" s="74"/>
      <c r="N153" s="3"/>
    </row>
    <row r="154" spans="1:14" ht="24.95" customHeight="1">
      <c r="A154" s="757"/>
      <c r="B154" s="158">
        <v>3</v>
      </c>
      <c r="C154" s="70"/>
      <c r="D154" s="79"/>
      <c r="E154" s="3"/>
      <c r="F154" s="72"/>
      <c r="G154" s="159"/>
      <c r="H154" s="160"/>
      <c r="I154" s="161"/>
      <c r="J154" s="73" t="s">
        <v>6990</v>
      </c>
      <c r="K154" s="73"/>
      <c r="L154" s="73"/>
      <c r="M154" s="74"/>
      <c r="N154" s="3"/>
    </row>
    <row r="155" spans="1:14" ht="24.95" customHeight="1">
      <c r="A155" s="757"/>
      <c r="B155" s="162">
        <v>4</v>
      </c>
      <c r="C155" s="70"/>
      <c r="D155" s="79"/>
      <c r="E155" s="3"/>
      <c r="F155" s="72"/>
      <c r="G155" s="159"/>
      <c r="H155" s="160"/>
      <c r="I155" s="161"/>
      <c r="J155" s="73" t="s">
        <v>6991</v>
      </c>
      <c r="K155" s="73"/>
      <c r="L155" s="73"/>
      <c r="M155" s="74"/>
      <c r="N155" s="3"/>
    </row>
    <row r="156" spans="1:14" ht="24.95" customHeight="1">
      <c r="A156" s="757"/>
      <c r="B156" s="158">
        <v>5</v>
      </c>
      <c r="C156" s="70"/>
      <c r="D156" s="79"/>
      <c r="E156" s="3"/>
      <c r="F156" s="72"/>
      <c r="G156" s="159"/>
      <c r="H156" s="160"/>
      <c r="I156" s="161"/>
      <c r="J156" s="73" t="s">
        <v>6992</v>
      </c>
      <c r="K156" s="73"/>
      <c r="L156" s="73"/>
      <c r="M156" s="74"/>
      <c r="N156" s="3"/>
    </row>
    <row r="157" spans="1:14" ht="24.95" customHeight="1">
      <c r="A157" s="757"/>
      <c r="B157" s="162"/>
      <c r="C157" s="70"/>
      <c r="D157" s="79"/>
      <c r="E157" s="3"/>
      <c r="F157" s="72"/>
      <c r="G157" s="159"/>
      <c r="H157" s="160"/>
      <c r="I157" s="161"/>
      <c r="J157" s="73" t="s">
        <v>243</v>
      </c>
      <c r="K157" s="73"/>
      <c r="L157" s="73"/>
      <c r="M157" s="74"/>
      <c r="N157" s="3"/>
    </row>
    <row r="158" spans="1:14" ht="24.95" customHeight="1">
      <c r="A158" s="757"/>
      <c r="B158" s="158"/>
      <c r="C158" s="70"/>
      <c r="D158" s="79"/>
      <c r="E158" s="3"/>
      <c r="F158" s="72"/>
      <c r="G158" s="159"/>
      <c r="H158" s="160"/>
      <c r="I158" s="161"/>
      <c r="J158" s="73" t="s">
        <v>6995</v>
      </c>
      <c r="K158" s="73"/>
      <c r="L158" s="73"/>
      <c r="M158" s="74"/>
      <c r="N158" s="3"/>
    </row>
    <row r="159" spans="1:14" ht="24.95" customHeight="1">
      <c r="A159" s="757"/>
      <c r="B159" s="14" t="s">
        <v>44</v>
      </c>
      <c r="C159" s="146" t="s">
        <v>198</v>
      </c>
      <c r="D159" s="89"/>
      <c r="E159" s="89"/>
      <c r="F159" s="89"/>
      <c r="G159" s="89"/>
      <c r="H159" s="89"/>
      <c r="I159" s="89"/>
      <c r="J159" s="89" t="s">
        <v>6996</v>
      </c>
      <c r="K159" s="89"/>
      <c r="L159" s="89"/>
      <c r="M159" s="90"/>
      <c r="N159" s="3"/>
    </row>
    <row r="160" spans="1:14" ht="24.95" customHeight="1">
      <c r="A160" s="757"/>
      <c r="B160" s="91">
        <v>0</v>
      </c>
      <c r="C160" s="10" t="s">
        <v>491</v>
      </c>
      <c r="D160" s="11"/>
      <c r="E160" s="11"/>
      <c r="F160" s="11"/>
      <c r="G160" s="11"/>
      <c r="H160" s="11"/>
      <c r="I160" s="11"/>
      <c r="J160" s="11"/>
      <c r="K160" s="11"/>
      <c r="L160" s="11"/>
      <c r="M160" s="92"/>
      <c r="N160" s="3"/>
    </row>
    <row r="161" spans="1:14" ht="24.95" customHeight="1">
      <c r="A161" s="757"/>
      <c r="B161" s="95">
        <v>1</v>
      </c>
      <c r="C161" s="96" t="s">
        <v>7268</v>
      </c>
      <c r="D161" s="96"/>
      <c r="E161" s="96"/>
      <c r="F161" s="96"/>
      <c r="G161" s="96"/>
      <c r="H161" s="96"/>
      <c r="I161" s="96"/>
      <c r="J161" s="96"/>
      <c r="K161" s="96"/>
      <c r="L161" s="96"/>
      <c r="M161" s="74"/>
      <c r="N161" s="3"/>
    </row>
    <row r="162" spans="1:14" ht="24.95" customHeight="1">
      <c r="A162" s="757"/>
      <c r="B162" s="95">
        <v>2</v>
      </c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74"/>
      <c r="N162" s="3"/>
    </row>
    <row r="163" spans="1:14" ht="24.95" customHeight="1">
      <c r="A163" s="757"/>
      <c r="B163" s="95">
        <v>3</v>
      </c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74"/>
      <c r="N163" s="3"/>
    </row>
    <row r="164" spans="1:14" ht="24.95" customHeight="1">
      <c r="A164" s="757"/>
      <c r="B164" s="95">
        <v>4</v>
      </c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74"/>
      <c r="N164" s="3"/>
    </row>
    <row r="165" spans="1:14" ht="24.95" customHeight="1">
      <c r="A165" s="757"/>
      <c r="B165" s="95">
        <v>5</v>
      </c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74"/>
      <c r="N165" s="3"/>
    </row>
    <row r="166" spans="1:14" ht="24.95" customHeight="1">
      <c r="A166" s="757"/>
      <c r="B166" s="95">
        <v>6</v>
      </c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74"/>
      <c r="N166" s="3"/>
    </row>
    <row r="167" spans="1:14" ht="24.95" customHeight="1">
      <c r="A167" s="757"/>
      <c r="B167" s="95">
        <v>7</v>
      </c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74"/>
      <c r="N167" s="3"/>
    </row>
    <row r="168" spans="1:14" ht="24.95" customHeight="1">
      <c r="A168" s="757"/>
      <c r="B168" s="95">
        <v>8</v>
      </c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74"/>
      <c r="N168" s="3"/>
    </row>
    <row r="169" spans="1:14" ht="24.95" customHeight="1">
      <c r="A169" s="757"/>
      <c r="B169" s="101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90"/>
      <c r="N169" s="3"/>
    </row>
    <row r="170" spans="1:14" ht="24.95" customHeight="1">
      <c r="A170" s="757"/>
      <c r="B170" s="10" t="s">
        <v>258</v>
      </c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92"/>
      <c r="N170" s="3"/>
    </row>
    <row r="171" spans="1:14" ht="24.95" customHeight="1">
      <c r="A171" s="757"/>
      <c r="B171" s="102" t="s">
        <v>259</v>
      </c>
      <c r="C171" s="73" t="s">
        <v>7269</v>
      </c>
      <c r="D171" s="73"/>
      <c r="E171" s="73"/>
      <c r="F171" s="73"/>
      <c r="G171" s="73"/>
      <c r="H171" s="73"/>
      <c r="I171" s="73"/>
      <c r="J171" s="73"/>
      <c r="K171" s="73"/>
      <c r="L171" s="73"/>
      <c r="M171" s="74"/>
      <c r="N171" s="3"/>
    </row>
    <row r="172" spans="1:14" ht="24.95" customHeight="1">
      <c r="A172" s="757"/>
      <c r="B172" s="102" t="s">
        <v>262</v>
      </c>
      <c r="C172" s="73" t="s">
        <v>7270</v>
      </c>
      <c r="D172" s="73"/>
      <c r="E172" s="73"/>
      <c r="F172" s="73"/>
      <c r="G172" s="73"/>
      <c r="H172" s="73"/>
      <c r="I172" s="73"/>
      <c r="J172" s="73"/>
      <c r="K172" s="73"/>
      <c r="L172" s="73"/>
      <c r="M172" s="74"/>
      <c r="N172" s="3"/>
    </row>
    <row r="173" spans="1:14" ht="24.95" customHeight="1">
      <c r="A173" s="757"/>
      <c r="B173" s="104" t="s">
        <v>267</v>
      </c>
      <c r="C173" s="105" t="s">
        <v>124</v>
      </c>
      <c r="D173" s="73"/>
      <c r="E173" s="73"/>
      <c r="F173" s="73"/>
      <c r="G173" s="73"/>
      <c r="H173" s="73"/>
      <c r="I173" s="73"/>
      <c r="J173" s="73"/>
      <c r="K173" s="73"/>
      <c r="L173" s="73"/>
      <c r="M173" s="74"/>
      <c r="N173" s="3"/>
    </row>
    <row r="174" spans="1:14" ht="24.95" customHeight="1">
      <c r="A174" s="758"/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7" t="s">
        <v>272</v>
      </c>
      <c r="N174" s="3"/>
    </row>
    <row r="175" spans="1:14" ht="24.95" customHeight="1">
      <c r="N175" s="3"/>
    </row>
    <row r="176" spans="1:14" ht="24.95" customHeight="1">
      <c r="A176" s="149" t="s">
        <v>59</v>
      </c>
      <c r="B176" s="755" t="s">
        <v>60</v>
      </c>
      <c r="C176" s="755"/>
      <c r="D176" s="755"/>
      <c r="E176" s="755"/>
      <c r="F176" s="755"/>
      <c r="G176" s="755"/>
      <c r="H176" s="755"/>
      <c r="I176" s="755"/>
      <c r="J176" s="755"/>
      <c r="K176" s="755"/>
      <c r="L176" s="755"/>
      <c r="M176" s="755"/>
      <c r="N176" s="3"/>
    </row>
    <row r="177" spans="1:14" ht="24.95" customHeight="1">
      <c r="A177" s="757"/>
      <c r="B177" s="27" t="s">
        <v>67</v>
      </c>
      <c r="C177" s="28" t="s">
        <v>6668</v>
      </c>
      <c r="D177" s="28"/>
      <c r="E177" s="27" t="s">
        <v>69</v>
      </c>
      <c r="F177" s="355" t="s">
        <v>558</v>
      </c>
      <c r="G177" s="30"/>
      <c r="H177" s="27" t="s">
        <v>71</v>
      </c>
      <c r="I177" s="356" t="s">
        <v>564</v>
      </c>
      <c r="J177" s="30"/>
      <c r="K177" s="27" t="s">
        <v>73</v>
      </c>
      <c r="L177" s="714" t="s">
        <v>10</v>
      </c>
      <c r="M177" s="33"/>
      <c r="N177" s="3"/>
    </row>
    <row r="178" spans="1:14" ht="24.95" customHeight="1">
      <c r="A178" s="757"/>
      <c r="B178" s="27" t="s">
        <v>80</v>
      </c>
      <c r="C178" s="38" t="s">
        <v>561</v>
      </c>
      <c r="D178" s="30"/>
      <c r="E178" s="27" t="s">
        <v>82</v>
      </c>
      <c r="F178" s="39" t="s">
        <v>83</v>
      </c>
      <c r="G178" s="30"/>
      <c r="H178" s="27" t="s">
        <v>84</v>
      </c>
      <c r="I178" s="40">
        <v>1</v>
      </c>
      <c r="J178" s="41" t="s">
        <v>83</v>
      </c>
      <c r="K178" s="41"/>
      <c r="L178" s="42" t="s">
        <v>76</v>
      </c>
      <c r="M178" s="33"/>
      <c r="N178" s="3"/>
    </row>
    <row r="179" spans="1:14" ht="24.95" customHeight="1">
      <c r="A179" s="757"/>
      <c r="B179" s="27" t="s">
        <v>94</v>
      </c>
      <c r="C179" s="151" t="s">
        <v>6670</v>
      </c>
      <c r="D179" s="30"/>
      <c r="E179" s="30"/>
      <c r="F179" s="30"/>
      <c r="G179" s="30"/>
      <c r="H179" s="27" t="s">
        <v>7267</v>
      </c>
      <c r="I179" s="48">
        <v>15</v>
      </c>
      <c r="J179" s="152" t="s">
        <v>32</v>
      </c>
      <c r="K179" s="30"/>
      <c r="L179" s="30"/>
      <c r="M179" s="33"/>
      <c r="N179" s="3"/>
    </row>
    <row r="180" spans="1:14" ht="24.95" customHeight="1">
      <c r="A180" s="757"/>
      <c r="B180" s="27"/>
      <c r="C180" s="52" t="str">
        <f>UPPER(LEFT(C177,1)) &amp; " . " &amp; UPPER(LEFT(C177,1)) &amp; LOWER(MID(C177,2,999)) &amp; " . " &amp; UPPER(LEFT(F177,1)) &amp; LOWER(MID(F177,2,999)) &amp; " . " &amp; UPPER(LEFT(I177,1)) &amp; LOWER(MID(I177,2,999)) &amp; " . " &amp; "Verre " &amp; UPPER(LEFT(F178,1)) &amp; LOWER(MID(F178,2,999)) &amp; IF(LEFT(L177,1)=UPPER(LEFT(L177,1)),".","") &amp; UPPER(LEFT(L177,1)) &amp; LOWER(MID(L177,2,999))&amp;"  couleur"&amp;" "&amp;C178&amp;"  intensité"&amp;" "&amp;C179</f>
        <v>N . Nom du cocktail . Avec ou sans alcool . Quand  . Verre Tumbler (old fashioned).Famille  couleur Couleur dominante à coller  intensité ****  précisez</v>
      </c>
      <c r="D180" s="52"/>
      <c r="E180" s="52"/>
      <c r="F180" s="52"/>
      <c r="G180" s="52"/>
      <c r="H180" s="52"/>
      <c r="I180" s="52"/>
      <c r="J180" s="52"/>
      <c r="K180" s="52"/>
      <c r="L180" s="30"/>
      <c r="M180" s="33"/>
    </row>
    <row r="181" spans="1:14" ht="24.95" customHeight="1">
      <c r="A181" s="757"/>
      <c r="B181" s="27" t="s">
        <v>110</v>
      </c>
      <c r="C181" s="55" t="s">
        <v>111</v>
      </c>
      <c r="D181" s="55"/>
      <c r="E181" s="154"/>
      <c r="F181" s="154"/>
      <c r="G181" s="154"/>
      <c r="H181" s="154"/>
      <c r="I181" s="154"/>
      <c r="J181" s="154"/>
      <c r="K181" s="154"/>
      <c r="L181" s="30"/>
      <c r="M181" s="33"/>
      <c r="N181" s="3"/>
    </row>
    <row r="182" spans="1:14" ht="24.95" customHeight="1">
      <c r="A182" s="757"/>
      <c r="B182" s="30"/>
      <c r="C182" s="30"/>
      <c r="D182" s="30"/>
      <c r="E182" s="30"/>
      <c r="F182" s="30"/>
      <c r="G182" s="30"/>
      <c r="H182" s="206"/>
      <c r="I182" s="30"/>
      <c r="J182" s="30"/>
      <c r="K182" s="30"/>
      <c r="L182" s="30"/>
      <c r="M182" s="33"/>
      <c r="N182" s="3"/>
    </row>
    <row r="183" spans="1:14" ht="24.95" customHeight="1">
      <c r="A183" s="757"/>
      <c r="B183" s="57" t="s">
        <v>121</v>
      </c>
      <c r="C183" s="58" t="s">
        <v>568</v>
      </c>
      <c r="D183" s="58"/>
      <c r="E183" s="59"/>
      <c r="F183" s="57" t="s">
        <v>123</v>
      </c>
      <c r="G183" s="58"/>
      <c r="H183" s="60"/>
      <c r="I183" s="60"/>
      <c r="J183" s="61"/>
      <c r="K183" s="61"/>
      <c r="L183" s="61"/>
      <c r="M183" s="62"/>
      <c r="N183" s="3"/>
    </row>
    <row r="184" spans="1:14" ht="24.95" customHeight="1">
      <c r="A184" s="757"/>
      <c r="B184" s="10" t="s">
        <v>131</v>
      </c>
      <c r="C184" s="10" t="s">
        <v>132</v>
      </c>
      <c r="D184" s="10"/>
      <c r="E184" s="10"/>
      <c r="F184" s="10"/>
      <c r="G184" s="10"/>
      <c r="H184" s="10"/>
      <c r="I184" s="10"/>
      <c r="J184" s="11" t="str">
        <f>IF(COUNTIF(C186:C192,"*~**")+COUNTIF(C186:C192,"*~?*")=0,"",IF(COUNTIF(C186:C192,"*~**")&gt;0,COUNTIF(C186:C192,"*~**")&amp;" allergène"&amp;IF(COUNTIF(C186:C192,"*~**")&gt;1,"s","")&amp;" repéré"&amp;IF(COUNTIF(C186:C192,"*~**")&gt;1,"s","")&amp;" par *","")&amp;IF(AND(COUNTIF(C186:C192,"*~**")&gt;0,COUNTIF(C186:C192,"*~?*")&gt;0)," | ","")&amp;IF(COUNTIF(C186:C192,"*~?*")&gt;0,COUNTIF(C186:C192,"*~?*")&amp;" produit"&amp;IF(COUNTIF(C186:C192,"*~?*")&gt;1,"s","")&amp;" à vérifier par ?",""))</f>
        <v/>
      </c>
      <c r="K184" s="10"/>
      <c r="L184" s="10"/>
      <c r="M184" s="63"/>
      <c r="N184" s="3"/>
    </row>
    <row r="185" spans="1:14" ht="24.95" customHeight="1">
      <c r="A185" s="757"/>
      <c r="B185" s="66">
        <v>0</v>
      </c>
      <c r="C185" s="64" t="s">
        <v>141</v>
      </c>
      <c r="D185" s="65" t="s">
        <v>142</v>
      </c>
      <c r="E185" s="64" t="s">
        <v>9</v>
      </c>
      <c r="F185" s="66" t="s">
        <v>143</v>
      </c>
      <c r="G185" s="66" t="s">
        <v>144</v>
      </c>
      <c r="H185" s="66" t="s">
        <v>145</v>
      </c>
      <c r="I185" s="67" t="s">
        <v>146</v>
      </c>
      <c r="J185" s="67" t="s">
        <v>847</v>
      </c>
      <c r="K185" s="67" t="s">
        <v>148</v>
      </c>
      <c r="L185" s="67" t="s">
        <v>149</v>
      </c>
      <c r="M185" s="68" t="s">
        <v>150</v>
      </c>
      <c r="N185" s="3"/>
    </row>
    <row r="186" spans="1:14" ht="24.95" customHeight="1">
      <c r="A186" s="757"/>
      <c r="B186" s="158">
        <v>1</v>
      </c>
      <c r="C186" s="70"/>
      <c r="D186" s="79"/>
      <c r="E186" s="3"/>
      <c r="F186" s="72"/>
      <c r="G186" s="159"/>
      <c r="H186" s="160"/>
      <c r="I186" s="161"/>
      <c r="J186" s="73" t="s">
        <v>849</v>
      </c>
      <c r="K186" s="73"/>
      <c r="L186" s="73"/>
      <c r="M186" s="74"/>
      <c r="N186" s="3"/>
    </row>
    <row r="187" spans="1:14" ht="24.95" customHeight="1">
      <c r="A187" s="757"/>
      <c r="B187" s="162">
        <v>2</v>
      </c>
      <c r="C187" s="70"/>
      <c r="D187" s="79"/>
      <c r="E187" s="3"/>
      <c r="F187" s="72"/>
      <c r="G187" s="159"/>
      <c r="H187" s="160"/>
      <c r="I187" s="161"/>
      <c r="J187" s="73" t="s">
        <v>6989</v>
      </c>
      <c r="K187" s="73"/>
      <c r="L187" s="73"/>
      <c r="M187" s="74"/>
      <c r="N187" s="3"/>
    </row>
    <row r="188" spans="1:14" ht="24.95" customHeight="1">
      <c r="A188" s="757"/>
      <c r="B188" s="158">
        <v>3</v>
      </c>
      <c r="C188" s="70"/>
      <c r="D188" s="79"/>
      <c r="E188" s="3"/>
      <c r="F188" s="72"/>
      <c r="G188" s="159"/>
      <c r="H188" s="160"/>
      <c r="I188" s="161"/>
      <c r="J188" s="73" t="s">
        <v>6990</v>
      </c>
      <c r="K188" s="73"/>
      <c r="L188" s="73"/>
      <c r="M188" s="74"/>
      <c r="N188" s="3"/>
    </row>
    <row r="189" spans="1:14" ht="24.95" customHeight="1">
      <c r="A189" s="757"/>
      <c r="B189" s="162">
        <v>4</v>
      </c>
      <c r="C189" s="70"/>
      <c r="D189" s="79"/>
      <c r="E189" s="3"/>
      <c r="F189" s="72"/>
      <c r="G189" s="159"/>
      <c r="H189" s="160"/>
      <c r="I189" s="161"/>
      <c r="J189" s="73" t="s">
        <v>6991</v>
      </c>
      <c r="K189" s="73"/>
      <c r="L189" s="73"/>
      <c r="M189" s="74"/>
      <c r="N189" s="3"/>
    </row>
    <row r="190" spans="1:14" ht="24.95" customHeight="1">
      <c r="A190" s="757"/>
      <c r="B190" s="158">
        <v>5</v>
      </c>
      <c r="C190" s="70"/>
      <c r="D190" s="79"/>
      <c r="E190" s="3"/>
      <c r="F190" s="72"/>
      <c r="G190" s="159"/>
      <c r="H190" s="160"/>
      <c r="I190" s="161"/>
      <c r="J190" s="73" t="s">
        <v>6992</v>
      </c>
      <c r="K190" s="73"/>
      <c r="L190" s="73"/>
      <c r="M190" s="74"/>
      <c r="N190" s="3"/>
    </row>
    <row r="191" spans="1:14" ht="24.95" customHeight="1">
      <c r="A191" s="757"/>
      <c r="B191" s="162"/>
      <c r="C191" s="70"/>
      <c r="D191" s="79"/>
      <c r="E191" s="3"/>
      <c r="F191" s="72"/>
      <c r="G191" s="159"/>
      <c r="H191" s="160"/>
      <c r="I191" s="161"/>
      <c r="J191" s="73" t="s">
        <v>243</v>
      </c>
      <c r="K191" s="73"/>
      <c r="L191" s="73"/>
      <c r="M191" s="74"/>
      <c r="N191" s="3"/>
    </row>
    <row r="192" spans="1:14" ht="24.95" customHeight="1">
      <c r="A192" s="757"/>
      <c r="B192" s="158"/>
      <c r="C192" s="70"/>
      <c r="D192" s="79"/>
      <c r="E192" s="3"/>
      <c r="F192" s="72"/>
      <c r="G192" s="159"/>
      <c r="H192" s="160"/>
      <c r="I192" s="161"/>
      <c r="J192" s="73" t="s">
        <v>6995</v>
      </c>
      <c r="K192" s="73"/>
      <c r="L192" s="73"/>
      <c r="M192" s="74"/>
      <c r="N192" s="3"/>
    </row>
    <row r="193" spans="1:14" ht="24.95" customHeight="1">
      <c r="A193" s="757"/>
      <c r="B193" s="14" t="s">
        <v>44</v>
      </c>
      <c r="C193" s="146" t="s">
        <v>198</v>
      </c>
      <c r="D193" s="89"/>
      <c r="E193" s="89"/>
      <c r="F193" s="89"/>
      <c r="G193" s="89"/>
      <c r="H193" s="89"/>
      <c r="I193" s="89"/>
      <c r="J193" s="89" t="s">
        <v>6996</v>
      </c>
      <c r="K193" s="89"/>
      <c r="L193" s="89"/>
      <c r="M193" s="90"/>
      <c r="N193" s="3"/>
    </row>
    <row r="194" spans="1:14" ht="24.95" customHeight="1">
      <c r="A194" s="757"/>
      <c r="B194" s="91">
        <v>0</v>
      </c>
      <c r="C194" s="10" t="s">
        <v>491</v>
      </c>
      <c r="D194" s="11"/>
      <c r="E194" s="11"/>
      <c r="F194" s="11"/>
      <c r="G194" s="11"/>
      <c r="H194" s="11"/>
      <c r="I194" s="11"/>
      <c r="J194" s="11"/>
      <c r="K194" s="11"/>
      <c r="L194" s="11"/>
      <c r="M194" s="92"/>
      <c r="N194" s="3"/>
    </row>
    <row r="195" spans="1:14" ht="24.95" customHeight="1">
      <c r="A195" s="757"/>
      <c r="B195" s="95">
        <v>1</v>
      </c>
      <c r="C195" s="96" t="s">
        <v>7268</v>
      </c>
      <c r="D195" s="96"/>
      <c r="E195" s="96"/>
      <c r="F195" s="96"/>
      <c r="G195" s="96"/>
      <c r="H195" s="96"/>
      <c r="I195" s="96"/>
      <c r="J195" s="96"/>
      <c r="K195" s="96"/>
      <c r="L195" s="96"/>
      <c r="M195" s="74"/>
      <c r="N195" s="3"/>
    </row>
    <row r="196" spans="1:14" ht="24.95" customHeight="1">
      <c r="A196" s="757"/>
      <c r="B196" s="95">
        <v>2</v>
      </c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74"/>
      <c r="N196" s="3"/>
    </row>
    <row r="197" spans="1:14" ht="24.95" customHeight="1">
      <c r="A197" s="757"/>
      <c r="B197" s="95">
        <v>3</v>
      </c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74"/>
      <c r="N197" s="3"/>
    </row>
    <row r="198" spans="1:14" ht="24.95" customHeight="1">
      <c r="A198" s="757"/>
      <c r="B198" s="95">
        <v>4</v>
      </c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74"/>
      <c r="N198" s="3"/>
    </row>
    <row r="199" spans="1:14" ht="24.95" customHeight="1">
      <c r="A199" s="757"/>
      <c r="B199" s="95">
        <v>5</v>
      </c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74"/>
      <c r="N199" s="3"/>
    </row>
    <row r="200" spans="1:14" ht="24.95" customHeight="1">
      <c r="A200" s="757"/>
      <c r="B200" s="95">
        <v>6</v>
      </c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74"/>
      <c r="N200" s="3"/>
    </row>
    <row r="201" spans="1:14" ht="24.95" customHeight="1">
      <c r="A201" s="757"/>
      <c r="B201" s="95">
        <v>7</v>
      </c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74"/>
      <c r="N201" s="3"/>
    </row>
    <row r="202" spans="1:14" ht="24.95" customHeight="1">
      <c r="A202" s="757"/>
      <c r="B202" s="95">
        <v>8</v>
      </c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74"/>
      <c r="N202" s="3"/>
    </row>
    <row r="203" spans="1:14" ht="24.95" customHeight="1">
      <c r="A203" s="757"/>
      <c r="B203" s="101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90"/>
      <c r="N203" s="3"/>
    </row>
    <row r="204" spans="1:14" ht="24.95" customHeight="1">
      <c r="A204" s="757"/>
      <c r="B204" s="10" t="s">
        <v>258</v>
      </c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92"/>
      <c r="N204" s="3"/>
    </row>
    <row r="205" spans="1:14" ht="24.95" customHeight="1">
      <c r="A205" s="757"/>
      <c r="B205" s="102" t="s">
        <v>259</v>
      </c>
      <c r="C205" s="73" t="s">
        <v>7269</v>
      </c>
      <c r="D205" s="73"/>
      <c r="E205" s="73"/>
      <c r="F205" s="73"/>
      <c r="G205" s="73"/>
      <c r="H205" s="73"/>
      <c r="I205" s="73"/>
      <c r="J205" s="73"/>
      <c r="K205" s="73"/>
      <c r="L205" s="73"/>
      <c r="M205" s="74"/>
      <c r="N205" s="3"/>
    </row>
    <row r="206" spans="1:14" ht="24.95" customHeight="1">
      <c r="A206" s="757"/>
      <c r="B206" s="102" t="s">
        <v>262</v>
      </c>
      <c r="C206" s="73" t="s">
        <v>7270</v>
      </c>
      <c r="D206" s="73"/>
      <c r="E206" s="73"/>
      <c r="F206" s="73"/>
      <c r="G206" s="73"/>
      <c r="H206" s="73"/>
      <c r="I206" s="73"/>
      <c r="J206" s="73"/>
      <c r="K206" s="73"/>
      <c r="L206" s="73"/>
      <c r="M206" s="74"/>
      <c r="N206" s="3"/>
    </row>
    <row r="207" spans="1:14" ht="24.95" customHeight="1">
      <c r="A207" s="757"/>
      <c r="B207" s="104" t="s">
        <v>267</v>
      </c>
      <c r="C207" s="105" t="s">
        <v>124</v>
      </c>
      <c r="D207" s="73"/>
      <c r="E207" s="73"/>
      <c r="F207" s="73"/>
      <c r="G207" s="73"/>
      <c r="H207" s="73"/>
      <c r="I207" s="73"/>
      <c r="J207" s="73"/>
      <c r="K207" s="73"/>
      <c r="L207" s="73"/>
      <c r="M207" s="74"/>
      <c r="N207" s="3"/>
    </row>
    <row r="208" spans="1:14" ht="24.95" customHeight="1">
      <c r="A208" s="758"/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7" t="s">
        <v>272</v>
      </c>
      <c r="N208" s="3"/>
    </row>
    <row r="209" spans="1:14" ht="24.95" customHeight="1">
      <c r="N209" s="3"/>
    </row>
    <row r="210" spans="1:14" ht="24.95" customHeight="1">
      <c r="A210" s="149" t="s">
        <v>59</v>
      </c>
      <c r="B210" s="755" t="s">
        <v>60</v>
      </c>
      <c r="C210" s="755"/>
      <c r="D210" s="755"/>
      <c r="E210" s="755"/>
      <c r="F210" s="755"/>
      <c r="G210" s="755"/>
      <c r="H210" s="755"/>
      <c r="I210" s="755"/>
      <c r="J210" s="755"/>
      <c r="K210" s="755"/>
      <c r="L210" s="755"/>
      <c r="M210" s="755"/>
      <c r="N210" s="3"/>
    </row>
    <row r="211" spans="1:14" ht="24.95" customHeight="1">
      <c r="A211" s="757"/>
      <c r="B211" s="27" t="s">
        <v>67</v>
      </c>
      <c r="C211" s="28" t="s">
        <v>6668</v>
      </c>
      <c r="D211" s="28"/>
      <c r="E211" s="27" t="s">
        <v>69</v>
      </c>
      <c r="F211" s="355" t="s">
        <v>558</v>
      </c>
      <c r="G211" s="30"/>
      <c r="H211" s="27" t="s">
        <v>71</v>
      </c>
      <c r="I211" s="356" t="s">
        <v>564</v>
      </c>
      <c r="J211" s="30"/>
      <c r="K211" s="27" t="s">
        <v>73</v>
      </c>
      <c r="L211" s="714" t="s">
        <v>10</v>
      </c>
      <c r="M211" s="33"/>
      <c r="N211" s="3"/>
    </row>
    <row r="212" spans="1:14" ht="24.95" customHeight="1">
      <c r="A212" s="757"/>
      <c r="B212" s="27" t="s">
        <v>80</v>
      </c>
      <c r="C212" s="38" t="s">
        <v>561</v>
      </c>
      <c r="D212" s="30"/>
      <c r="E212" s="27" t="s">
        <v>82</v>
      </c>
      <c r="F212" s="39" t="s">
        <v>83</v>
      </c>
      <c r="G212" s="30"/>
      <c r="H212" s="27" t="s">
        <v>84</v>
      </c>
      <c r="I212" s="40">
        <v>1</v>
      </c>
      <c r="J212" s="41" t="s">
        <v>83</v>
      </c>
      <c r="K212" s="41"/>
      <c r="L212" s="42" t="s">
        <v>76</v>
      </c>
      <c r="M212" s="33"/>
      <c r="N212" s="3"/>
    </row>
    <row r="213" spans="1:14" ht="24.95" customHeight="1">
      <c r="A213" s="757"/>
      <c r="B213" s="27" t="s">
        <v>94</v>
      </c>
      <c r="C213" s="151" t="s">
        <v>6670</v>
      </c>
      <c r="D213" s="30"/>
      <c r="E213" s="30"/>
      <c r="F213" s="30"/>
      <c r="G213" s="30"/>
      <c r="H213" s="27" t="s">
        <v>7267</v>
      </c>
      <c r="I213" s="48">
        <v>15</v>
      </c>
      <c r="J213" s="152" t="s">
        <v>32</v>
      </c>
      <c r="K213" s="30"/>
      <c r="L213" s="30"/>
      <c r="M213" s="33"/>
      <c r="N213" s="3"/>
    </row>
    <row r="214" spans="1:14" ht="24.95" customHeight="1">
      <c r="A214" s="757"/>
      <c r="B214" s="27"/>
      <c r="C214" s="52" t="str">
        <f>UPPER(LEFT(C211,1)) &amp; " . " &amp; UPPER(LEFT(C211,1)) &amp; LOWER(MID(C211,2,999)) &amp; " . " &amp; UPPER(LEFT(F211,1)) &amp; LOWER(MID(F211,2,999)) &amp; " . " &amp; UPPER(LEFT(I211,1)) &amp; LOWER(MID(I211,2,999)) &amp; " . " &amp; "Verre " &amp; UPPER(LEFT(F212,1)) &amp; LOWER(MID(F212,2,999)) &amp; IF(LEFT(L211,1)=UPPER(LEFT(L211,1)),".","") &amp; UPPER(LEFT(L211,1)) &amp; LOWER(MID(L211,2,999))&amp;"  couleur"&amp;" "&amp;C212&amp;"  intensité"&amp;" "&amp;C213</f>
        <v>N . Nom du cocktail . Avec ou sans alcool . Quand  . Verre Tumbler (old fashioned).Famille  couleur Couleur dominante à coller  intensité ****  précisez</v>
      </c>
      <c r="D214" s="52"/>
      <c r="E214" s="52"/>
      <c r="F214" s="52"/>
      <c r="G214" s="52"/>
      <c r="H214" s="52"/>
      <c r="I214" s="52"/>
      <c r="J214" s="52"/>
      <c r="K214" s="52"/>
      <c r="L214" s="30"/>
      <c r="M214" s="33"/>
      <c r="N214" s="3"/>
    </row>
    <row r="215" spans="1:14" ht="24.95" customHeight="1">
      <c r="A215" s="757"/>
      <c r="B215" s="27" t="s">
        <v>110</v>
      </c>
      <c r="C215" s="55" t="s">
        <v>111</v>
      </c>
      <c r="D215" s="55"/>
      <c r="E215" s="154"/>
      <c r="F215" s="154"/>
      <c r="G215" s="154"/>
      <c r="H215" s="154"/>
      <c r="I215" s="154"/>
      <c r="J215" s="154"/>
      <c r="K215" s="154"/>
      <c r="L215" s="30"/>
      <c r="M215" s="33"/>
    </row>
    <row r="216" spans="1:14" ht="24.95" customHeight="1">
      <c r="A216" s="757"/>
      <c r="B216" s="30"/>
      <c r="C216" s="30"/>
      <c r="D216" s="30"/>
      <c r="E216" s="30"/>
      <c r="F216" s="30"/>
      <c r="G216" s="30"/>
      <c r="H216" s="206"/>
      <c r="I216" s="30"/>
      <c r="J216" s="30"/>
      <c r="K216" s="30"/>
      <c r="L216" s="30"/>
      <c r="M216" s="33"/>
      <c r="N216" s="3"/>
    </row>
    <row r="217" spans="1:14" ht="24.95" customHeight="1">
      <c r="A217" s="757"/>
      <c r="B217" s="57" t="s">
        <v>121</v>
      </c>
      <c r="C217" s="58" t="s">
        <v>568</v>
      </c>
      <c r="D217" s="58"/>
      <c r="E217" s="59"/>
      <c r="F217" s="57" t="s">
        <v>123</v>
      </c>
      <c r="G217" s="58"/>
      <c r="H217" s="60"/>
      <c r="I217" s="60"/>
      <c r="J217" s="61"/>
      <c r="K217" s="61"/>
      <c r="L217" s="61"/>
      <c r="M217" s="62"/>
      <c r="N217" s="3"/>
    </row>
    <row r="218" spans="1:14" ht="24.95" customHeight="1">
      <c r="A218" s="757"/>
      <c r="B218" s="10" t="s">
        <v>131</v>
      </c>
      <c r="C218" s="10" t="s">
        <v>132</v>
      </c>
      <c r="D218" s="10"/>
      <c r="E218" s="10"/>
      <c r="F218" s="10"/>
      <c r="G218" s="10"/>
      <c r="H218" s="10"/>
      <c r="I218" s="10"/>
      <c r="J218" s="11" t="str">
        <f>IF(COUNTIF(C220:C226,"*~**")+COUNTIF(C220:C226,"*~?*")=0,"",IF(COUNTIF(C220:C226,"*~**")&gt;0,COUNTIF(C220:C226,"*~**")&amp;" allergène"&amp;IF(COUNTIF(C220:C226,"*~**")&gt;1,"s","")&amp;" repéré"&amp;IF(COUNTIF(C220:C226,"*~**")&gt;1,"s","")&amp;" par *","")&amp;IF(AND(COUNTIF(C220:C226,"*~**")&gt;0,COUNTIF(C220:C226,"*~?*")&gt;0)," | ","")&amp;IF(COUNTIF(C220:C226,"*~?*")&gt;0,COUNTIF(C220:C226,"*~?*")&amp;" produit"&amp;IF(COUNTIF(C220:C226,"*~?*")&gt;1,"s","")&amp;" à vérifier par ?",""))</f>
        <v/>
      </c>
      <c r="K218" s="10"/>
      <c r="L218" s="10"/>
      <c r="M218" s="63"/>
      <c r="N218" s="3"/>
    </row>
    <row r="219" spans="1:14" ht="24.95" customHeight="1">
      <c r="A219" s="757"/>
      <c r="B219" s="66">
        <v>0</v>
      </c>
      <c r="C219" s="64" t="s">
        <v>141</v>
      </c>
      <c r="D219" s="65" t="s">
        <v>142</v>
      </c>
      <c r="E219" s="64" t="s">
        <v>9</v>
      </c>
      <c r="F219" s="66" t="s">
        <v>143</v>
      </c>
      <c r="G219" s="66" t="s">
        <v>144</v>
      </c>
      <c r="H219" s="66" t="s">
        <v>145</v>
      </c>
      <c r="I219" s="67" t="s">
        <v>146</v>
      </c>
      <c r="J219" s="67" t="s">
        <v>847</v>
      </c>
      <c r="K219" s="67" t="s">
        <v>148</v>
      </c>
      <c r="L219" s="67" t="s">
        <v>149</v>
      </c>
      <c r="M219" s="68" t="s">
        <v>150</v>
      </c>
      <c r="N219" s="3"/>
    </row>
    <row r="220" spans="1:14" ht="24.95" customHeight="1">
      <c r="A220" s="757"/>
      <c r="B220" s="158">
        <v>1</v>
      </c>
      <c r="C220" s="70"/>
      <c r="D220" s="79"/>
      <c r="E220" s="3"/>
      <c r="F220" s="72"/>
      <c r="G220" s="159"/>
      <c r="H220" s="160"/>
      <c r="I220" s="161"/>
      <c r="J220" s="73" t="s">
        <v>849</v>
      </c>
      <c r="K220" s="73"/>
      <c r="L220" s="73"/>
      <c r="M220" s="74"/>
      <c r="N220" s="3"/>
    </row>
    <row r="221" spans="1:14" ht="24.95" customHeight="1">
      <c r="A221" s="757"/>
      <c r="B221" s="162">
        <v>2</v>
      </c>
      <c r="C221" s="70"/>
      <c r="D221" s="79"/>
      <c r="E221" s="3"/>
      <c r="F221" s="72"/>
      <c r="G221" s="159"/>
      <c r="H221" s="160"/>
      <c r="I221" s="161"/>
      <c r="J221" s="73" t="s">
        <v>6989</v>
      </c>
      <c r="K221" s="73"/>
      <c r="L221" s="73"/>
      <c r="M221" s="74"/>
      <c r="N221" s="3"/>
    </row>
    <row r="222" spans="1:14" ht="24.95" customHeight="1">
      <c r="A222" s="757"/>
      <c r="B222" s="158">
        <v>3</v>
      </c>
      <c r="C222" s="70"/>
      <c r="D222" s="79"/>
      <c r="E222" s="3"/>
      <c r="F222" s="72"/>
      <c r="G222" s="159"/>
      <c r="H222" s="160"/>
      <c r="I222" s="161"/>
      <c r="J222" s="73" t="s">
        <v>6990</v>
      </c>
      <c r="K222" s="73"/>
      <c r="L222" s="73"/>
      <c r="M222" s="74"/>
      <c r="N222" s="3"/>
    </row>
    <row r="223" spans="1:14" ht="24.95" customHeight="1">
      <c r="A223" s="757"/>
      <c r="B223" s="162">
        <v>4</v>
      </c>
      <c r="C223" s="70"/>
      <c r="D223" s="79"/>
      <c r="E223" s="3"/>
      <c r="F223" s="72"/>
      <c r="G223" s="159"/>
      <c r="H223" s="160"/>
      <c r="I223" s="161"/>
      <c r="J223" s="73" t="s">
        <v>6991</v>
      </c>
      <c r="K223" s="73"/>
      <c r="L223" s="73"/>
      <c r="M223" s="74"/>
      <c r="N223" s="3"/>
    </row>
    <row r="224" spans="1:14" ht="24.95" customHeight="1">
      <c r="A224" s="757"/>
      <c r="B224" s="158">
        <v>5</v>
      </c>
      <c r="C224" s="70"/>
      <c r="D224" s="79"/>
      <c r="E224" s="3"/>
      <c r="F224" s="72"/>
      <c r="G224" s="159"/>
      <c r="H224" s="160"/>
      <c r="I224" s="161"/>
      <c r="J224" s="73" t="s">
        <v>6992</v>
      </c>
      <c r="K224" s="73"/>
      <c r="L224" s="73"/>
      <c r="M224" s="74"/>
      <c r="N224" s="3"/>
    </row>
    <row r="225" spans="1:14" ht="24.95" customHeight="1">
      <c r="A225" s="757"/>
      <c r="B225" s="162"/>
      <c r="C225" s="70"/>
      <c r="D225" s="79"/>
      <c r="E225" s="3"/>
      <c r="F225" s="72"/>
      <c r="G225" s="159"/>
      <c r="H225" s="160"/>
      <c r="I225" s="161"/>
      <c r="J225" s="73" t="s">
        <v>243</v>
      </c>
      <c r="K225" s="73"/>
      <c r="L225" s="73"/>
      <c r="M225" s="74"/>
      <c r="N225" s="3"/>
    </row>
    <row r="226" spans="1:14" ht="24.95" customHeight="1">
      <c r="A226" s="757"/>
      <c r="B226" s="158"/>
      <c r="C226" s="70"/>
      <c r="D226" s="79"/>
      <c r="E226" s="3"/>
      <c r="F226" s="72"/>
      <c r="G226" s="159"/>
      <c r="H226" s="160"/>
      <c r="I226" s="161"/>
      <c r="J226" s="73" t="s">
        <v>6995</v>
      </c>
      <c r="K226" s="73"/>
      <c r="L226" s="73"/>
      <c r="M226" s="74"/>
      <c r="N226" s="3"/>
    </row>
    <row r="227" spans="1:14" ht="24.95" customHeight="1">
      <c r="A227" s="757"/>
      <c r="B227" s="14" t="s">
        <v>44</v>
      </c>
      <c r="C227" s="146" t="s">
        <v>198</v>
      </c>
      <c r="D227" s="89"/>
      <c r="E227" s="89"/>
      <c r="F227" s="89"/>
      <c r="G227" s="89"/>
      <c r="H227" s="89"/>
      <c r="I227" s="89"/>
      <c r="J227" s="89" t="s">
        <v>6996</v>
      </c>
      <c r="K227" s="89"/>
      <c r="L227" s="89"/>
      <c r="M227" s="90"/>
      <c r="N227" s="3"/>
    </row>
    <row r="228" spans="1:14" ht="24.95" customHeight="1">
      <c r="A228" s="757"/>
      <c r="B228" s="91">
        <v>0</v>
      </c>
      <c r="C228" s="10" t="s">
        <v>491</v>
      </c>
      <c r="D228" s="11"/>
      <c r="E228" s="11"/>
      <c r="F228" s="11"/>
      <c r="G228" s="11"/>
      <c r="H228" s="11"/>
      <c r="I228" s="11"/>
      <c r="J228" s="11"/>
      <c r="K228" s="11"/>
      <c r="L228" s="11"/>
      <c r="M228" s="92"/>
      <c r="N228" s="3"/>
    </row>
    <row r="229" spans="1:14" ht="24.95" customHeight="1">
      <c r="A229" s="757"/>
      <c r="B229" s="95">
        <v>1</v>
      </c>
      <c r="C229" s="96" t="s">
        <v>7268</v>
      </c>
      <c r="D229" s="96"/>
      <c r="E229" s="96"/>
      <c r="F229" s="96"/>
      <c r="G229" s="96"/>
      <c r="H229" s="96"/>
      <c r="I229" s="96"/>
      <c r="J229" s="96"/>
      <c r="K229" s="96"/>
      <c r="L229" s="96"/>
      <c r="M229" s="74"/>
      <c r="N229" s="3"/>
    </row>
    <row r="230" spans="1:14" ht="24.95" customHeight="1">
      <c r="A230" s="757"/>
      <c r="B230" s="95">
        <v>2</v>
      </c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74"/>
      <c r="N230" s="3"/>
    </row>
    <row r="231" spans="1:14" ht="24.95" customHeight="1">
      <c r="A231" s="757"/>
      <c r="B231" s="95">
        <v>3</v>
      </c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74"/>
      <c r="N231" s="3"/>
    </row>
    <row r="232" spans="1:14" ht="24.95" customHeight="1">
      <c r="A232" s="757"/>
      <c r="B232" s="95">
        <v>4</v>
      </c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74"/>
      <c r="N232" s="3"/>
    </row>
    <row r="233" spans="1:14" ht="24.95" customHeight="1">
      <c r="A233" s="757"/>
      <c r="B233" s="95">
        <v>5</v>
      </c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74"/>
      <c r="N233" s="3"/>
    </row>
    <row r="234" spans="1:14" ht="24.95" customHeight="1">
      <c r="A234" s="757"/>
      <c r="B234" s="95">
        <v>6</v>
      </c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74"/>
      <c r="N234" s="3"/>
    </row>
    <row r="235" spans="1:14" ht="24.95" customHeight="1">
      <c r="A235" s="757"/>
      <c r="B235" s="95">
        <v>7</v>
      </c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74"/>
      <c r="N235" s="3"/>
    </row>
    <row r="236" spans="1:14" ht="24.95" customHeight="1">
      <c r="A236" s="757"/>
      <c r="B236" s="95">
        <v>8</v>
      </c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74"/>
      <c r="N236" s="3"/>
    </row>
    <row r="237" spans="1:14" ht="24.95" customHeight="1">
      <c r="A237" s="757"/>
      <c r="B237" s="101"/>
      <c r="C237" s="89"/>
      <c r="D237" s="89"/>
      <c r="E237" s="89"/>
      <c r="F237" s="89"/>
      <c r="G237" s="89"/>
      <c r="H237" s="89"/>
      <c r="I237" s="89"/>
      <c r="J237" s="89"/>
      <c r="K237" s="89"/>
      <c r="L237" s="89"/>
      <c r="M237" s="90"/>
      <c r="N237" s="3"/>
    </row>
    <row r="238" spans="1:14" ht="24.95" customHeight="1">
      <c r="A238" s="757"/>
      <c r="B238" s="10" t="s">
        <v>258</v>
      </c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92"/>
      <c r="N238" s="3"/>
    </row>
    <row r="239" spans="1:14" ht="24.95" customHeight="1">
      <c r="A239" s="757"/>
      <c r="B239" s="102" t="s">
        <v>259</v>
      </c>
      <c r="C239" s="73" t="s">
        <v>7269</v>
      </c>
      <c r="D239" s="73"/>
      <c r="E239" s="73"/>
      <c r="F239" s="73"/>
      <c r="G239" s="73"/>
      <c r="H239" s="73"/>
      <c r="I239" s="73"/>
      <c r="J239" s="73"/>
      <c r="K239" s="73"/>
      <c r="L239" s="73"/>
      <c r="M239" s="74"/>
      <c r="N239" s="3"/>
    </row>
    <row r="240" spans="1:14" ht="24.95" customHeight="1">
      <c r="A240" s="757"/>
      <c r="B240" s="102" t="s">
        <v>262</v>
      </c>
      <c r="C240" s="73" t="s">
        <v>7270</v>
      </c>
      <c r="D240" s="73"/>
      <c r="E240" s="73"/>
      <c r="F240" s="73"/>
      <c r="G240" s="73"/>
      <c r="H240" s="73"/>
      <c r="I240" s="73"/>
      <c r="J240" s="73"/>
      <c r="K240" s="73"/>
      <c r="L240" s="73"/>
      <c r="M240" s="74"/>
      <c r="N240" s="3"/>
    </row>
    <row r="241" spans="1:14" ht="24.95" customHeight="1">
      <c r="A241" s="757"/>
      <c r="B241" s="104" t="s">
        <v>267</v>
      </c>
      <c r="C241" s="105" t="s">
        <v>124</v>
      </c>
      <c r="D241" s="73"/>
      <c r="E241" s="73"/>
      <c r="F241" s="73"/>
      <c r="G241" s="73"/>
      <c r="H241" s="73"/>
      <c r="I241" s="73"/>
      <c r="J241" s="73"/>
      <c r="K241" s="73"/>
      <c r="L241" s="73"/>
      <c r="M241" s="74"/>
      <c r="N241" s="3"/>
    </row>
    <row r="242" spans="1:14" ht="24.95" customHeight="1">
      <c r="A242" s="758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7" t="s">
        <v>272</v>
      </c>
      <c r="N242" s="3"/>
    </row>
    <row r="243" spans="1:14" ht="24.95" customHeight="1">
      <c r="N243" s="3"/>
    </row>
    <row r="244" spans="1:14" ht="24.95" customHeight="1">
      <c r="A244" s="149" t="s">
        <v>59</v>
      </c>
      <c r="B244" s="755" t="s">
        <v>60</v>
      </c>
      <c r="C244" s="755"/>
      <c r="D244" s="755"/>
      <c r="E244" s="755"/>
      <c r="F244" s="755"/>
      <c r="G244" s="755"/>
      <c r="H244" s="755"/>
      <c r="I244" s="755"/>
      <c r="J244" s="755"/>
      <c r="K244" s="755"/>
      <c r="L244" s="755"/>
      <c r="M244" s="755"/>
      <c r="N244" s="3"/>
    </row>
    <row r="245" spans="1:14" ht="24.95" customHeight="1">
      <c r="A245" s="757"/>
      <c r="B245" s="27" t="s">
        <v>67</v>
      </c>
      <c r="C245" s="28" t="s">
        <v>6668</v>
      </c>
      <c r="D245" s="28"/>
      <c r="E245" s="27" t="s">
        <v>69</v>
      </c>
      <c r="F245" s="355" t="s">
        <v>558</v>
      </c>
      <c r="G245" s="30"/>
      <c r="H245" s="27" t="s">
        <v>71</v>
      </c>
      <c r="I245" s="356" t="s">
        <v>564</v>
      </c>
      <c r="J245" s="30"/>
      <c r="K245" s="27" t="s">
        <v>73</v>
      </c>
      <c r="L245" s="714" t="s">
        <v>10</v>
      </c>
      <c r="M245" s="33"/>
      <c r="N245" s="3"/>
    </row>
    <row r="246" spans="1:14" ht="24.95" customHeight="1">
      <c r="A246" s="757"/>
      <c r="B246" s="27" t="s">
        <v>80</v>
      </c>
      <c r="C246" s="38" t="s">
        <v>561</v>
      </c>
      <c r="D246" s="30"/>
      <c r="E246" s="27" t="s">
        <v>82</v>
      </c>
      <c r="F246" s="39" t="s">
        <v>83</v>
      </c>
      <c r="G246" s="30"/>
      <c r="H246" s="27" t="s">
        <v>84</v>
      </c>
      <c r="I246" s="40">
        <v>1</v>
      </c>
      <c r="J246" s="41" t="s">
        <v>83</v>
      </c>
      <c r="K246" s="41"/>
      <c r="L246" s="42" t="s">
        <v>76</v>
      </c>
      <c r="M246" s="33"/>
      <c r="N246" s="3"/>
    </row>
    <row r="247" spans="1:14" ht="24.95" customHeight="1">
      <c r="A247" s="757"/>
      <c r="B247" s="27" t="s">
        <v>94</v>
      </c>
      <c r="C247" s="151" t="s">
        <v>6670</v>
      </c>
      <c r="D247" s="30"/>
      <c r="E247" s="30"/>
      <c r="F247" s="30"/>
      <c r="G247" s="30"/>
      <c r="H247" s="27" t="s">
        <v>7267</v>
      </c>
      <c r="I247" s="48">
        <v>15</v>
      </c>
      <c r="J247" s="152" t="s">
        <v>32</v>
      </c>
      <c r="K247" s="30"/>
      <c r="L247" s="30"/>
      <c r="M247" s="33"/>
      <c r="N247" s="3"/>
    </row>
    <row r="248" spans="1:14" ht="24.95" customHeight="1">
      <c r="A248" s="757"/>
      <c r="B248" s="27"/>
      <c r="C248" s="52" t="str">
        <f>UPPER(LEFT(C245,1)) &amp; " . " &amp; UPPER(LEFT(C245,1)) &amp; LOWER(MID(C245,2,999)) &amp; " . " &amp; UPPER(LEFT(F245,1)) &amp; LOWER(MID(F245,2,999)) &amp; " . " &amp; UPPER(LEFT(I245,1)) &amp; LOWER(MID(I245,2,999)) &amp; " . " &amp; "Verre " &amp; UPPER(LEFT(F246,1)) &amp; LOWER(MID(F246,2,999)) &amp; IF(LEFT(L245,1)=UPPER(LEFT(L245,1)),".","") &amp; UPPER(LEFT(L245,1)) &amp; LOWER(MID(L245,2,999))&amp;"  couleur"&amp;" "&amp;C246&amp;"  intensité"&amp;" "&amp;C247</f>
        <v>N . Nom du cocktail . Avec ou sans alcool . Quand  . Verre Tumbler (old fashioned).Famille  couleur Couleur dominante à coller  intensité ****  précisez</v>
      </c>
      <c r="D248" s="52"/>
      <c r="E248" s="52"/>
      <c r="F248" s="52"/>
      <c r="G248" s="52"/>
      <c r="H248" s="52"/>
      <c r="I248" s="52"/>
      <c r="J248" s="52"/>
      <c r="K248" s="52"/>
      <c r="L248" s="30"/>
      <c r="M248" s="33"/>
      <c r="N248" s="3"/>
    </row>
    <row r="249" spans="1:14" ht="24.95" customHeight="1">
      <c r="A249" s="757"/>
      <c r="B249" s="27" t="s">
        <v>110</v>
      </c>
      <c r="C249" s="55" t="s">
        <v>111</v>
      </c>
      <c r="D249" s="55"/>
      <c r="E249" s="154"/>
      <c r="F249" s="154"/>
      <c r="G249" s="154"/>
      <c r="H249" s="154"/>
      <c r="I249" s="154"/>
      <c r="J249" s="154"/>
      <c r="K249" s="154"/>
      <c r="L249" s="30"/>
      <c r="M249" s="33"/>
      <c r="N249" s="3"/>
    </row>
    <row r="250" spans="1:14" ht="24.95" customHeight="1">
      <c r="A250" s="757"/>
      <c r="B250" s="30"/>
      <c r="C250" s="30"/>
      <c r="D250" s="30"/>
      <c r="E250" s="30"/>
      <c r="F250" s="30"/>
      <c r="G250" s="30"/>
      <c r="H250" s="206"/>
      <c r="I250" s="30"/>
      <c r="J250" s="30"/>
      <c r="K250" s="30"/>
      <c r="L250" s="30"/>
      <c r="M250" s="33"/>
    </row>
    <row r="251" spans="1:14" ht="24.95" customHeight="1">
      <c r="A251" s="757"/>
      <c r="B251" s="57" t="s">
        <v>121</v>
      </c>
      <c r="C251" s="58" t="s">
        <v>568</v>
      </c>
      <c r="D251" s="58"/>
      <c r="E251" s="59"/>
      <c r="F251" s="57" t="s">
        <v>123</v>
      </c>
      <c r="G251" s="58"/>
      <c r="H251" s="60"/>
      <c r="I251" s="60"/>
      <c r="J251" s="61"/>
      <c r="K251" s="61"/>
      <c r="L251" s="61"/>
      <c r="M251" s="62"/>
      <c r="N251" s="3"/>
    </row>
    <row r="252" spans="1:14" ht="24.95" customHeight="1">
      <c r="A252" s="757"/>
      <c r="B252" s="10" t="s">
        <v>131</v>
      </c>
      <c r="C252" s="10" t="s">
        <v>132</v>
      </c>
      <c r="D252" s="10"/>
      <c r="E252" s="10"/>
      <c r="F252" s="10"/>
      <c r="G252" s="10"/>
      <c r="H252" s="10"/>
      <c r="I252" s="10"/>
      <c r="J252" s="11" t="str">
        <f>IF(COUNTIF(C254:C260,"*~**")+COUNTIF(C254:C260,"*~?*")=0,"",IF(COUNTIF(C254:C260,"*~**")&gt;0,COUNTIF(C254:C260,"*~**")&amp;" allergène"&amp;IF(COUNTIF(C254:C260,"*~**")&gt;1,"s","")&amp;" repéré"&amp;IF(COUNTIF(C254:C260,"*~**")&gt;1,"s","")&amp;" par *","")&amp;IF(AND(COUNTIF(C254:C260,"*~**")&gt;0,COUNTIF(C254:C260,"*~?*")&gt;0)," | ","")&amp;IF(COUNTIF(C254:C260,"*~?*")&gt;0,COUNTIF(C254:C260,"*~?*")&amp;" produit"&amp;IF(COUNTIF(C254:C260,"*~?*")&gt;1,"s","")&amp;" à vérifier par ?",""))</f>
        <v/>
      </c>
      <c r="K252" s="10"/>
      <c r="L252" s="10"/>
      <c r="M252" s="63"/>
      <c r="N252" s="3"/>
    </row>
    <row r="253" spans="1:14" ht="24.95" customHeight="1">
      <c r="A253" s="757"/>
      <c r="B253" s="66">
        <v>0</v>
      </c>
      <c r="C253" s="64" t="s">
        <v>141</v>
      </c>
      <c r="D253" s="65" t="s">
        <v>142</v>
      </c>
      <c r="E253" s="64" t="s">
        <v>9</v>
      </c>
      <c r="F253" s="66" t="s">
        <v>143</v>
      </c>
      <c r="G253" s="66" t="s">
        <v>144</v>
      </c>
      <c r="H253" s="66" t="s">
        <v>145</v>
      </c>
      <c r="I253" s="67" t="s">
        <v>146</v>
      </c>
      <c r="J253" s="67" t="s">
        <v>847</v>
      </c>
      <c r="K253" s="67" t="s">
        <v>148</v>
      </c>
      <c r="L253" s="67" t="s">
        <v>149</v>
      </c>
      <c r="M253" s="68" t="s">
        <v>150</v>
      </c>
      <c r="N253" s="3"/>
    </row>
    <row r="254" spans="1:14" ht="24.95" customHeight="1">
      <c r="A254" s="757"/>
      <c r="B254" s="158">
        <v>1</v>
      </c>
      <c r="C254" s="70"/>
      <c r="D254" s="79"/>
      <c r="E254" s="3"/>
      <c r="F254" s="72"/>
      <c r="G254" s="159"/>
      <c r="H254" s="160"/>
      <c r="I254" s="161"/>
      <c r="J254" s="73" t="s">
        <v>849</v>
      </c>
      <c r="K254" s="73"/>
      <c r="L254" s="73"/>
      <c r="M254" s="74"/>
      <c r="N254" s="3"/>
    </row>
    <row r="255" spans="1:14" ht="24.95" customHeight="1">
      <c r="A255" s="757"/>
      <c r="B255" s="162">
        <v>2</v>
      </c>
      <c r="C255" s="70"/>
      <c r="D255" s="79"/>
      <c r="E255" s="3"/>
      <c r="F255" s="72"/>
      <c r="G255" s="159"/>
      <c r="H255" s="160"/>
      <c r="I255" s="161"/>
      <c r="J255" s="73" t="s">
        <v>6989</v>
      </c>
      <c r="K255" s="73"/>
      <c r="L255" s="73"/>
      <c r="M255" s="74"/>
      <c r="N255" s="3"/>
    </row>
    <row r="256" spans="1:14" ht="24.95" customHeight="1">
      <c r="A256" s="757"/>
      <c r="B256" s="158">
        <v>3</v>
      </c>
      <c r="C256" s="70"/>
      <c r="D256" s="79"/>
      <c r="E256" s="3"/>
      <c r="F256" s="72"/>
      <c r="G256" s="159"/>
      <c r="H256" s="160"/>
      <c r="I256" s="161"/>
      <c r="J256" s="73" t="s">
        <v>6990</v>
      </c>
      <c r="K256" s="73"/>
      <c r="L256" s="73"/>
      <c r="M256" s="74"/>
      <c r="N256" s="3"/>
    </row>
    <row r="257" spans="1:14" ht="24.95" customHeight="1">
      <c r="A257" s="757"/>
      <c r="B257" s="162">
        <v>4</v>
      </c>
      <c r="C257" s="70"/>
      <c r="D257" s="79"/>
      <c r="E257" s="3"/>
      <c r="F257" s="72"/>
      <c r="G257" s="159"/>
      <c r="H257" s="160"/>
      <c r="I257" s="161"/>
      <c r="J257" s="73" t="s">
        <v>6991</v>
      </c>
      <c r="K257" s="73"/>
      <c r="L257" s="73"/>
      <c r="M257" s="74"/>
      <c r="N257" s="3"/>
    </row>
    <row r="258" spans="1:14" ht="24.95" customHeight="1">
      <c r="A258" s="757"/>
      <c r="B258" s="158">
        <v>5</v>
      </c>
      <c r="C258" s="70"/>
      <c r="D258" s="79"/>
      <c r="E258" s="3"/>
      <c r="F258" s="72"/>
      <c r="G258" s="159"/>
      <c r="H258" s="160"/>
      <c r="I258" s="161"/>
      <c r="J258" s="73" t="s">
        <v>6992</v>
      </c>
      <c r="K258" s="73"/>
      <c r="L258" s="73"/>
      <c r="M258" s="74"/>
      <c r="N258" s="3"/>
    </row>
    <row r="259" spans="1:14" ht="24.95" customHeight="1">
      <c r="A259" s="757"/>
      <c r="B259" s="162"/>
      <c r="C259" s="70"/>
      <c r="D259" s="79"/>
      <c r="E259" s="3"/>
      <c r="F259" s="72"/>
      <c r="G259" s="159"/>
      <c r="H259" s="160"/>
      <c r="I259" s="161"/>
      <c r="J259" s="73" t="s">
        <v>243</v>
      </c>
      <c r="K259" s="73"/>
      <c r="L259" s="73"/>
      <c r="M259" s="74"/>
      <c r="N259" s="3"/>
    </row>
    <row r="260" spans="1:14" ht="24.95" customHeight="1">
      <c r="A260" s="757"/>
      <c r="B260" s="158"/>
      <c r="C260" s="70"/>
      <c r="D260" s="79"/>
      <c r="E260" s="3"/>
      <c r="F260" s="72"/>
      <c r="G260" s="159"/>
      <c r="H260" s="160"/>
      <c r="I260" s="161"/>
      <c r="J260" s="73" t="s">
        <v>6995</v>
      </c>
      <c r="K260" s="73"/>
      <c r="L260" s="73"/>
      <c r="M260" s="74"/>
      <c r="N260" s="3"/>
    </row>
    <row r="261" spans="1:14" ht="24.95" customHeight="1">
      <c r="A261" s="757"/>
      <c r="B261" s="14" t="s">
        <v>44</v>
      </c>
      <c r="C261" s="146" t="s">
        <v>198</v>
      </c>
      <c r="D261" s="89"/>
      <c r="E261" s="89"/>
      <c r="F261" s="89"/>
      <c r="G261" s="89"/>
      <c r="H261" s="89"/>
      <c r="I261" s="89"/>
      <c r="J261" s="89" t="s">
        <v>6996</v>
      </c>
      <c r="K261" s="89"/>
      <c r="L261" s="89"/>
      <c r="M261" s="90"/>
      <c r="N261" s="3"/>
    </row>
    <row r="262" spans="1:14" ht="24.95" customHeight="1">
      <c r="A262" s="757"/>
      <c r="B262" s="91">
        <v>0</v>
      </c>
      <c r="C262" s="10" t="s">
        <v>491</v>
      </c>
      <c r="D262" s="11"/>
      <c r="E262" s="11"/>
      <c r="F262" s="11"/>
      <c r="G262" s="11"/>
      <c r="H262" s="11"/>
      <c r="I262" s="11"/>
      <c r="J262" s="11"/>
      <c r="K262" s="11"/>
      <c r="L262" s="11"/>
      <c r="M262" s="92"/>
      <c r="N262" s="3"/>
    </row>
    <row r="263" spans="1:14" ht="24.95" customHeight="1">
      <c r="A263" s="757"/>
      <c r="B263" s="95">
        <v>1</v>
      </c>
      <c r="C263" s="96" t="s">
        <v>7268</v>
      </c>
      <c r="D263" s="96"/>
      <c r="E263" s="96"/>
      <c r="F263" s="96"/>
      <c r="G263" s="96"/>
      <c r="H263" s="96"/>
      <c r="I263" s="96"/>
      <c r="J263" s="96"/>
      <c r="K263" s="96"/>
      <c r="L263" s="96"/>
      <c r="M263" s="74"/>
      <c r="N263" s="3"/>
    </row>
    <row r="264" spans="1:14" ht="24.95" customHeight="1">
      <c r="A264" s="757"/>
      <c r="B264" s="95">
        <v>2</v>
      </c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74"/>
      <c r="N264" s="3"/>
    </row>
    <row r="265" spans="1:14" ht="24.95" customHeight="1">
      <c r="A265" s="757"/>
      <c r="B265" s="95">
        <v>3</v>
      </c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74"/>
      <c r="N265" s="3"/>
    </row>
    <row r="266" spans="1:14" ht="24.95" customHeight="1">
      <c r="A266" s="757"/>
      <c r="B266" s="95">
        <v>4</v>
      </c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74"/>
      <c r="N266" s="3"/>
    </row>
    <row r="267" spans="1:14" ht="24.95" customHeight="1">
      <c r="A267" s="757"/>
      <c r="B267" s="95">
        <v>5</v>
      </c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74"/>
      <c r="N267" s="3"/>
    </row>
    <row r="268" spans="1:14" ht="24.95" customHeight="1">
      <c r="A268" s="757"/>
      <c r="B268" s="95">
        <v>6</v>
      </c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74"/>
      <c r="N268" s="3"/>
    </row>
    <row r="269" spans="1:14" ht="24.95" customHeight="1">
      <c r="A269" s="757"/>
      <c r="B269" s="95">
        <v>7</v>
      </c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74"/>
      <c r="N269" s="3"/>
    </row>
    <row r="270" spans="1:14" ht="24.95" customHeight="1">
      <c r="A270" s="757"/>
      <c r="B270" s="95">
        <v>8</v>
      </c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74"/>
      <c r="N270" s="3"/>
    </row>
    <row r="271" spans="1:14" ht="24.95" customHeight="1">
      <c r="A271" s="757"/>
      <c r="B271" s="101"/>
      <c r="C271" s="89"/>
      <c r="D271" s="89"/>
      <c r="E271" s="89"/>
      <c r="F271" s="89"/>
      <c r="G271" s="89"/>
      <c r="H271" s="89"/>
      <c r="I271" s="89"/>
      <c r="J271" s="89"/>
      <c r="K271" s="89"/>
      <c r="L271" s="89"/>
      <c r="M271" s="90"/>
      <c r="N271" s="3"/>
    </row>
    <row r="272" spans="1:14" ht="24.95" customHeight="1">
      <c r="A272" s="757"/>
      <c r="B272" s="10" t="s">
        <v>258</v>
      </c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92"/>
      <c r="N272" s="3"/>
    </row>
    <row r="273" spans="1:14" ht="24.95" customHeight="1">
      <c r="A273" s="757"/>
      <c r="B273" s="102" t="s">
        <v>259</v>
      </c>
      <c r="C273" s="73" t="s">
        <v>7269</v>
      </c>
      <c r="D273" s="73"/>
      <c r="E273" s="73"/>
      <c r="F273" s="73"/>
      <c r="G273" s="73"/>
      <c r="H273" s="73"/>
      <c r="I273" s="73"/>
      <c r="J273" s="73"/>
      <c r="K273" s="73"/>
      <c r="L273" s="73"/>
      <c r="M273" s="74"/>
      <c r="N273" s="3"/>
    </row>
    <row r="274" spans="1:14" ht="24.95" customHeight="1">
      <c r="A274" s="757"/>
      <c r="B274" s="102" t="s">
        <v>262</v>
      </c>
      <c r="C274" s="73" t="s">
        <v>7270</v>
      </c>
      <c r="D274" s="73"/>
      <c r="E274" s="73"/>
      <c r="F274" s="73"/>
      <c r="G274" s="73"/>
      <c r="H274" s="73"/>
      <c r="I274" s="73"/>
      <c r="J274" s="73"/>
      <c r="K274" s="73"/>
      <c r="L274" s="73"/>
      <c r="M274" s="74"/>
      <c r="N274" s="3"/>
    </row>
    <row r="275" spans="1:14" ht="24.95" customHeight="1">
      <c r="A275" s="757"/>
      <c r="B275" s="104" t="s">
        <v>267</v>
      </c>
      <c r="C275" s="105" t="s">
        <v>124</v>
      </c>
      <c r="D275" s="73"/>
      <c r="E275" s="73"/>
      <c r="F275" s="73"/>
      <c r="G275" s="73"/>
      <c r="H275" s="73"/>
      <c r="I275" s="73"/>
      <c r="J275" s="73"/>
      <c r="K275" s="73"/>
      <c r="L275" s="73"/>
      <c r="M275" s="74"/>
      <c r="N275" s="3"/>
    </row>
    <row r="276" spans="1:14" ht="24.95" customHeight="1">
      <c r="A276" s="758"/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7" t="s">
        <v>272</v>
      </c>
      <c r="N276" s="3"/>
    </row>
    <row r="277" spans="1:14" ht="24.95" customHeight="1">
      <c r="N277" s="3"/>
    </row>
    <row r="278" spans="1:14" ht="24.95" customHeight="1">
      <c r="A278" s="149" t="s">
        <v>59</v>
      </c>
      <c r="B278" s="755" t="s">
        <v>60</v>
      </c>
      <c r="C278" s="755"/>
      <c r="D278" s="755"/>
      <c r="E278" s="755"/>
      <c r="F278" s="755"/>
      <c r="G278" s="755"/>
      <c r="H278" s="755"/>
      <c r="I278" s="755"/>
      <c r="J278" s="755"/>
      <c r="K278" s="755"/>
      <c r="L278" s="755"/>
      <c r="M278" s="755"/>
      <c r="N278" s="3"/>
    </row>
    <row r="279" spans="1:14" ht="24.95" customHeight="1">
      <c r="A279" s="757"/>
      <c r="B279" s="27" t="s">
        <v>67</v>
      </c>
      <c r="C279" s="28" t="s">
        <v>6668</v>
      </c>
      <c r="D279" s="28"/>
      <c r="E279" s="27" t="s">
        <v>69</v>
      </c>
      <c r="F279" s="355" t="s">
        <v>558</v>
      </c>
      <c r="G279" s="30"/>
      <c r="H279" s="27" t="s">
        <v>71</v>
      </c>
      <c r="I279" s="356" t="s">
        <v>564</v>
      </c>
      <c r="J279" s="30"/>
      <c r="K279" s="27" t="s">
        <v>73</v>
      </c>
      <c r="L279" s="714" t="s">
        <v>10</v>
      </c>
      <c r="M279" s="33"/>
      <c r="N279" s="3"/>
    </row>
    <row r="280" spans="1:14" ht="24.95" customHeight="1">
      <c r="A280" s="757"/>
      <c r="B280" s="27" t="s">
        <v>80</v>
      </c>
      <c r="C280" s="38" t="s">
        <v>561</v>
      </c>
      <c r="D280" s="30"/>
      <c r="E280" s="27" t="s">
        <v>82</v>
      </c>
      <c r="F280" s="39" t="s">
        <v>83</v>
      </c>
      <c r="G280" s="30"/>
      <c r="H280" s="27" t="s">
        <v>84</v>
      </c>
      <c r="I280" s="40">
        <v>1</v>
      </c>
      <c r="J280" s="41" t="s">
        <v>83</v>
      </c>
      <c r="K280" s="41"/>
      <c r="L280" s="42" t="s">
        <v>76</v>
      </c>
      <c r="M280" s="33"/>
      <c r="N280" s="3"/>
    </row>
    <row r="281" spans="1:14" ht="24.95" customHeight="1">
      <c r="A281" s="757"/>
      <c r="B281" s="27" t="s">
        <v>94</v>
      </c>
      <c r="C281" s="151" t="s">
        <v>6670</v>
      </c>
      <c r="D281" s="30"/>
      <c r="E281" s="30"/>
      <c r="F281" s="30"/>
      <c r="G281" s="30"/>
      <c r="H281" s="27" t="s">
        <v>7267</v>
      </c>
      <c r="I281" s="48">
        <v>15</v>
      </c>
      <c r="J281" s="152" t="s">
        <v>32</v>
      </c>
      <c r="K281" s="30"/>
      <c r="L281" s="30"/>
      <c r="M281" s="33"/>
      <c r="N281" s="3"/>
    </row>
    <row r="282" spans="1:14" ht="24.95" customHeight="1">
      <c r="A282" s="757"/>
      <c r="B282" s="27"/>
      <c r="C282" s="52" t="str">
        <f>UPPER(LEFT(C279,1)) &amp; " . " &amp; UPPER(LEFT(C279,1)) &amp; LOWER(MID(C279,2,999)) &amp; " . " &amp; UPPER(LEFT(F279,1)) &amp; LOWER(MID(F279,2,999)) &amp; " . " &amp; UPPER(LEFT(I279,1)) &amp; LOWER(MID(I279,2,999)) &amp; " . " &amp; "Verre " &amp; UPPER(LEFT(F280,1)) &amp; LOWER(MID(F280,2,999)) &amp; IF(LEFT(L279,1)=UPPER(LEFT(L279,1)),".","") &amp; UPPER(LEFT(L279,1)) &amp; LOWER(MID(L279,2,999))&amp;"  couleur"&amp;" "&amp;C280&amp;"  intensité"&amp;" "&amp;C281</f>
        <v>N . Nom du cocktail . Avec ou sans alcool . Quand  . Verre Tumbler (old fashioned).Famille  couleur Couleur dominante à coller  intensité ****  précisez</v>
      </c>
      <c r="D282" s="52"/>
      <c r="E282" s="52"/>
      <c r="F282" s="52"/>
      <c r="G282" s="52"/>
      <c r="H282" s="52"/>
      <c r="I282" s="52"/>
      <c r="J282" s="52"/>
      <c r="K282" s="52"/>
      <c r="L282" s="30"/>
      <c r="M282" s="33"/>
      <c r="N282" s="3"/>
    </row>
    <row r="283" spans="1:14" ht="24.95" customHeight="1">
      <c r="A283" s="757"/>
      <c r="B283" s="27" t="s">
        <v>110</v>
      </c>
      <c r="C283" s="55" t="s">
        <v>111</v>
      </c>
      <c r="D283" s="55"/>
      <c r="E283" s="154"/>
      <c r="F283" s="154"/>
      <c r="G283" s="154"/>
      <c r="H283" s="154"/>
      <c r="I283" s="154"/>
      <c r="J283" s="154"/>
      <c r="K283" s="154"/>
      <c r="L283" s="30"/>
      <c r="M283" s="33"/>
      <c r="N283" s="3"/>
    </row>
    <row r="284" spans="1:14" ht="24.95" customHeight="1">
      <c r="A284" s="757"/>
      <c r="B284" s="30"/>
      <c r="C284" s="30"/>
      <c r="D284" s="30"/>
      <c r="E284" s="30"/>
      <c r="F284" s="30"/>
      <c r="G284" s="30"/>
      <c r="H284" s="206"/>
      <c r="I284" s="30"/>
      <c r="J284" s="30"/>
      <c r="K284" s="30"/>
      <c r="L284" s="30"/>
      <c r="M284" s="33"/>
      <c r="N284" s="3"/>
    </row>
    <row r="285" spans="1:14" ht="24.95" customHeight="1">
      <c r="A285" s="757"/>
      <c r="B285" s="57" t="s">
        <v>121</v>
      </c>
      <c r="C285" s="58" t="s">
        <v>568</v>
      </c>
      <c r="D285" s="58"/>
      <c r="E285" s="59"/>
      <c r="F285" s="57" t="s">
        <v>123</v>
      </c>
      <c r="G285" s="58"/>
      <c r="H285" s="60"/>
      <c r="I285" s="60"/>
      <c r="J285" s="61"/>
      <c r="K285" s="61"/>
      <c r="L285" s="61"/>
      <c r="M285" s="62"/>
    </row>
    <row r="286" spans="1:14" ht="24.95" customHeight="1">
      <c r="A286" s="757"/>
      <c r="B286" s="10" t="s">
        <v>131</v>
      </c>
      <c r="C286" s="10" t="s">
        <v>132</v>
      </c>
      <c r="D286" s="10"/>
      <c r="E286" s="10"/>
      <c r="F286" s="10"/>
      <c r="G286" s="10"/>
      <c r="H286" s="10"/>
      <c r="I286" s="10"/>
      <c r="J286" s="11" t="str">
        <f>IF(COUNTIF(C288:C294,"*~**")+COUNTIF(C288:C294,"*~?*")=0,"",IF(COUNTIF(C288:C294,"*~**")&gt;0,COUNTIF(C288:C294,"*~**")&amp;" allergène"&amp;IF(COUNTIF(C288:C294,"*~**")&gt;1,"s","")&amp;" repéré"&amp;IF(COUNTIF(C288:C294,"*~**")&gt;1,"s","")&amp;" par *","")&amp;IF(AND(COUNTIF(C288:C294,"*~**")&gt;0,COUNTIF(C288:C294,"*~?*")&gt;0)," | ","")&amp;IF(COUNTIF(C288:C294,"*~?*")&gt;0,COUNTIF(C288:C294,"*~?*")&amp;" produit"&amp;IF(COUNTIF(C288:C294,"*~?*")&gt;1,"s","")&amp;" à vérifier par ?",""))</f>
        <v/>
      </c>
      <c r="K286" s="10"/>
      <c r="L286" s="10"/>
      <c r="M286" s="63"/>
      <c r="N286" s="3"/>
    </row>
    <row r="287" spans="1:14" ht="24.95" customHeight="1">
      <c r="A287" s="757"/>
      <c r="B287" s="66">
        <v>0</v>
      </c>
      <c r="C287" s="64" t="s">
        <v>141</v>
      </c>
      <c r="D287" s="65" t="s">
        <v>142</v>
      </c>
      <c r="E287" s="64" t="s">
        <v>9</v>
      </c>
      <c r="F287" s="66" t="s">
        <v>143</v>
      </c>
      <c r="G287" s="66" t="s">
        <v>144</v>
      </c>
      <c r="H287" s="66" t="s">
        <v>145</v>
      </c>
      <c r="I287" s="67" t="s">
        <v>146</v>
      </c>
      <c r="J287" s="67" t="s">
        <v>847</v>
      </c>
      <c r="K287" s="67" t="s">
        <v>148</v>
      </c>
      <c r="L287" s="67" t="s">
        <v>149</v>
      </c>
      <c r="M287" s="68" t="s">
        <v>150</v>
      </c>
      <c r="N287" s="3"/>
    </row>
    <row r="288" spans="1:14" ht="24.95" customHeight="1">
      <c r="A288" s="757"/>
      <c r="B288" s="158">
        <v>1</v>
      </c>
      <c r="C288" s="70"/>
      <c r="D288" s="79"/>
      <c r="E288" s="3"/>
      <c r="F288" s="72"/>
      <c r="G288" s="159"/>
      <c r="H288" s="160"/>
      <c r="I288" s="161"/>
      <c r="J288" s="73" t="s">
        <v>849</v>
      </c>
      <c r="K288" s="73"/>
      <c r="L288" s="73"/>
      <c r="M288" s="74"/>
      <c r="N288" s="3"/>
    </row>
    <row r="289" spans="1:14" ht="24.95" customHeight="1">
      <c r="A289" s="757"/>
      <c r="B289" s="162">
        <v>2</v>
      </c>
      <c r="C289" s="70"/>
      <c r="D289" s="79"/>
      <c r="E289" s="3"/>
      <c r="F289" s="72"/>
      <c r="G289" s="159"/>
      <c r="H289" s="160"/>
      <c r="I289" s="161"/>
      <c r="J289" s="73" t="s">
        <v>6989</v>
      </c>
      <c r="K289" s="73"/>
      <c r="L289" s="73"/>
      <c r="M289" s="74"/>
      <c r="N289" s="3"/>
    </row>
    <row r="290" spans="1:14" ht="24.95" customHeight="1">
      <c r="A290" s="757"/>
      <c r="B290" s="158">
        <v>3</v>
      </c>
      <c r="C290" s="70"/>
      <c r="D290" s="79"/>
      <c r="E290" s="3"/>
      <c r="F290" s="72"/>
      <c r="G290" s="159"/>
      <c r="H290" s="160"/>
      <c r="I290" s="161"/>
      <c r="J290" s="73" t="s">
        <v>6990</v>
      </c>
      <c r="K290" s="73"/>
      <c r="L290" s="73"/>
      <c r="M290" s="74"/>
      <c r="N290" s="3"/>
    </row>
    <row r="291" spans="1:14" ht="24.95" customHeight="1">
      <c r="A291" s="757"/>
      <c r="B291" s="162">
        <v>4</v>
      </c>
      <c r="C291" s="70"/>
      <c r="D291" s="79"/>
      <c r="E291" s="3"/>
      <c r="F291" s="72"/>
      <c r="G291" s="159"/>
      <c r="H291" s="160"/>
      <c r="I291" s="161"/>
      <c r="J291" s="73" t="s">
        <v>6991</v>
      </c>
      <c r="K291" s="73"/>
      <c r="L291" s="73"/>
      <c r="M291" s="74"/>
      <c r="N291" s="3"/>
    </row>
    <row r="292" spans="1:14" ht="24.95" customHeight="1">
      <c r="A292" s="757"/>
      <c r="B292" s="158">
        <v>5</v>
      </c>
      <c r="C292" s="70"/>
      <c r="D292" s="79"/>
      <c r="E292" s="3"/>
      <c r="F292" s="72"/>
      <c r="G292" s="159"/>
      <c r="H292" s="160"/>
      <c r="I292" s="161"/>
      <c r="J292" s="73" t="s">
        <v>6992</v>
      </c>
      <c r="K292" s="73"/>
      <c r="L292" s="73"/>
      <c r="M292" s="74"/>
      <c r="N292" s="3"/>
    </row>
    <row r="293" spans="1:14" ht="24.95" customHeight="1">
      <c r="A293" s="757"/>
      <c r="B293" s="162"/>
      <c r="C293" s="70"/>
      <c r="D293" s="79"/>
      <c r="E293" s="3"/>
      <c r="F293" s="72"/>
      <c r="G293" s="159"/>
      <c r="H293" s="160"/>
      <c r="I293" s="161"/>
      <c r="J293" s="73" t="s">
        <v>243</v>
      </c>
      <c r="K293" s="73"/>
      <c r="L293" s="73"/>
      <c r="M293" s="74"/>
      <c r="N293" s="3"/>
    </row>
    <row r="294" spans="1:14" ht="24.95" customHeight="1">
      <c r="A294" s="757"/>
      <c r="B294" s="158"/>
      <c r="C294" s="70"/>
      <c r="D294" s="79"/>
      <c r="E294" s="3"/>
      <c r="F294" s="72"/>
      <c r="G294" s="159"/>
      <c r="H294" s="160"/>
      <c r="I294" s="161"/>
      <c r="J294" s="73" t="s">
        <v>6995</v>
      </c>
      <c r="K294" s="73"/>
      <c r="L294" s="73"/>
      <c r="M294" s="74"/>
      <c r="N294" s="3"/>
    </row>
    <row r="295" spans="1:14" ht="24.95" customHeight="1">
      <c r="A295" s="757"/>
      <c r="B295" s="14" t="s">
        <v>44</v>
      </c>
      <c r="C295" s="146" t="s">
        <v>198</v>
      </c>
      <c r="D295" s="89"/>
      <c r="E295" s="89"/>
      <c r="F295" s="89"/>
      <c r="G295" s="89"/>
      <c r="H295" s="89"/>
      <c r="I295" s="89"/>
      <c r="J295" s="89" t="s">
        <v>6996</v>
      </c>
      <c r="K295" s="89"/>
      <c r="L295" s="89"/>
      <c r="M295" s="90"/>
      <c r="N295" s="3"/>
    </row>
    <row r="296" spans="1:14" ht="24.95" customHeight="1">
      <c r="A296" s="757"/>
      <c r="B296" s="91">
        <v>0</v>
      </c>
      <c r="C296" s="10" t="s">
        <v>491</v>
      </c>
      <c r="D296" s="11"/>
      <c r="E296" s="11"/>
      <c r="F296" s="11"/>
      <c r="G296" s="11"/>
      <c r="H296" s="11"/>
      <c r="I296" s="11"/>
      <c r="J296" s="11"/>
      <c r="K296" s="11"/>
      <c r="L296" s="11"/>
      <c r="M296" s="92"/>
      <c r="N296" s="3"/>
    </row>
    <row r="297" spans="1:14" ht="24.95" customHeight="1">
      <c r="A297" s="757"/>
      <c r="B297" s="95">
        <v>1</v>
      </c>
      <c r="C297" s="96" t="s">
        <v>7268</v>
      </c>
      <c r="D297" s="96"/>
      <c r="E297" s="96"/>
      <c r="F297" s="96"/>
      <c r="G297" s="96"/>
      <c r="H297" s="96"/>
      <c r="I297" s="96"/>
      <c r="J297" s="96"/>
      <c r="K297" s="96"/>
      <c r="L297" s="96"/>
      <c r="M297" s="74"/>
      <c r="N297" s="3"/>
    </row>
    <row r="298" spans="1:14" ht="24.95" customHeight="1">
      <c r="A298" s="757"/>
      <c r="B298" s="95">
        <v>2</v>
      </c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74"/>
      <c r="N298" s="3"/>
    </row>
    <row r="299" spans="1:14" ht="24.95" customHeight="1">
      <c r="A299" s="757"/>
      <c r="B299" s="95">
        <v>3</v>
      </c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74"/>
      <c r="N299" s="3"/>
    </row>
    <row r="300" spans="1:14" ht="24.95" customHeight="1">
      <c r="A300" s="757"/>
      <c r="B300" s="95">
        <v>4</v>
      </c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74"/>
      <c r="N300" s="3"/>
    </row>
    <row r="301" spans="1:14" ht="24.95" customHeight="1">
      <c r="A301" s="757"/>
      <c r="B301" s="95">
        <v>5</v>
      </c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74"/>
      <c r="N301" s="3"/>
    </row>
    <row r="302" spans="1:14" ht="24.95" customHeight="1">
      <c r="A302" s="757"/>
      <c r="B302" s="95">
        <v>6</v>
      </c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74"/>
      <c r="N302" s="3"/>
    </row>
    <row r="303" spans="1:14" ht="24.95" customHeight="1">
      <c r="A303" s="757"/>
      <c r="B303" s="95">
        <v>7</v>
      </c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74"/>
      <c r="N303" s="3"/>
    </row>
    <row r="304" spans="1:14" ht="24.95" customHeight="1">
      <c r="A304" s="757"/>
      <c r="B304" s="95">
        <v>8</v>
      </c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74"/>
      <c r="N304" s="3"/>
    </row>
    <row r="305" spans="1:14" ht="24.95" customHeight="1">
      <c r="A305" s="757"/>
      <c r="B305" s="101"/>
      <c r="C305" s="89"/>
      <c r="D305" s="89"/>
      <c r="E305" s="89"/>
      <c r="F305" s="89"/>
      <c r="G305" s="89"/>
      <c r="H305" s="89"/>
      <c r="I305" s="89"/>
      <c r="J305" s="89"/>
      <c r="K305" s="89"/>
      <c r="L305" s="89"/>
      <c r="M305" s="90"/>
      <c r="N305" s="3"/>
    </row>
    <row r="306" spans="1:14" ht="24.95" customHeight="1">
      <c r="A306" s="757"/>
      <c r="B306" s="10" t="s">
        <v>258</v>
      </c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92"/>
      <c r="N306" s="3"/>
    </row>
    <row r="307" spans="1:14" ht="24.95" customHeight="1">
      <c r="A307" s="757"/>
      <c r="B307" s="102" t="s">
        <v>259</v>
      </c>
      <c r="C307" s="73" t="s">
        <v>7269</v>
      </c>
      <c r="D307" s="73"/>
      <c r="E307" s="73"/>
      <c r="F307" s="73"/>
      <c r="G307" s="73"/>
      <c r="H307" s="73"/>
      <c r="I307" s="73"/>
      <c r="J307" s="73"/>
      <c r="K307" s="73"/>
      <c r="L307" s="73"/>
      <c r="M307" s="74"/>
      <c r="N307" s="3"/>
    </row>
    <row r="308" spans="1:14" ht="24.95" customHeight="1">
      <c r="A308" s="757"/>
      <c r="B308" s="102" t="s">
        <v>262</v>
      </c>
      <c r="C308" s="73" t="s">
        <v>7270</v>
      </c>
      <c r="D308" s="73"/>
      <c r="E308" s="73"/>
      <c r="F308" s="73"/>
      <c r="G308" s="73"/>
      <c r="H308" s="73"/>
      <c r="I308" s="73"/>
      <c r="J308" s="73"/>
      <c r="K308" s="73"/>
      <c r="L308" s="73"/>
      <c r="M308" s="74"/>
      <c r="N308" s="3"/>
    </row>
    <row r="309" spans="1:14" ht="24.95" customHeight="1">
      <c r="A309" s="757"/>
      <c r="B309" s="104" t="s">
        <v>267</v>
      </c>
      <c r="C309" s="105" t="s">
        <v>124</v>
      </c>
      <c r="D309" s="73"/>
      <c r="E309" s="73"/>
      <c r="F309" s="73"/>
      <c r="G309" s="73"/>
      <c r="H309" s="73"/>
      <c r="I309" s="73"/>
      <c r="J309" s="73"/>
      <c r="K309" s="73"/>
      <c r="L309" s="73"/>
      <c r="M309" s="74"/>
      <c r="N309" s="3"/>
    </row>
    <row r="310" spans="1:14" ht="24.95" customHeight="1">
      <c r="A310" s="758"/>
      <c r="B310" s="106"/>
      <c r="C310" s="106"/>
      <c r="D310" s="106"/>
      <c r="E310" s="106"/>
      <c r="F310" s="106"/>
      <c r="G310" s="106"/>
      <c r="H310" s="106"/>
      <c r="I310" s="106"/>
      <c r="J310" s="106"/>
      <c r="K310" s="106"/>
      <c r="L310" s="106"/>
      <c r="M310" s="107" t="s">
        <v>272</v>
      </c>
      <c r="N310" s="3"/>
    </row>
    <row r="311" spans="1:14" ht="24.95" customHeight="1">
      <c r="N311" s="3"/>
    </row>
    <row r="312" spans="1:14" ht="24.95" customHeight="1">
      <c r="A312" s="149" t="s">
        <v>59</v>
      </c>
      <c r="B312" s="755" t="s">
        <v>60</v>
      </c>
      <c r="C312" s="755"/>
      <c r="D312" s="755"/>
      <c r="E312" s="755"/>
      <c r="F312" s="755"/>
      <c r="G312" s="755"/>
      <c r="H312" s="755"/>
      <c r="I312" s="755"/>
      <c r="J312" s="755"/>
      <c r="K312" s="755"/>
      <c r="L312" s="755"/>
      <c r="M312" s="755"/>
      <c r="N312" s="3"/>
    </row>
    <row r="313" spans="1:14" ht="24.95" customHeight="1">
      <c r="A313" s="757"/>
      <c r="B313" s="27" t="s">
        <v>67</v>
      </c>
      <c r="C313" s="28" t="s">
        <v>6668</v>
      </c>
      <c r="D313" s="28"/>
      <c r="E313" s="27" t="s">
        <v>69</v>
      </c>
      <c r="F313" s="355" t="s">
        <v>558</v>
      </c>
      <c r="G313" s="30"/>
      <c r="H313" s="27" t="s">
        <v>71</v>
      </c>
      <c r="I313" s="356" t="s">
        <v>564</v>
      </c>
      <c r="J313" s="30"/>
      <c r="K313" s="27" t="s">
        <v>73</v>
      </c>
      <c r="L313" s="714" t="s">
        <v>10</v>
      </c>
      <c r="M313" s="33"/>
      <c r="N313" s="3"/>
    </row>
    <row r="314" spans="1:14" ht="24.95" customHeight="1">
      <c r="A314" s="757"/>
      <c r="B314" s="27" t="s">
        <v>80</v>
      </c>
      <c r="C314" s="38" t="s">
        <v>561</v>
      </c>
      <c r="D314" s="30"/>
      <c r="E314" s="27" t="s">
        <v>82</v>
      </c>
      <c r="F314" s="39" t="s">
        <v>83</v>
      </c>
      <c r="G314" s="30"/>
      <c r="H314" s="27" t="s">
        <v>84</v>
      </c>
      <c r="I314" s="40">
        <v>1</v>
      </c>
      <c r="J314" s="41" t="s">
        <v>83</v>
      </c>
      <c r="K314" s="41"/>
      <c r="L314" s="42" t="s">
        <v>76</v>
      </c>
      <c r="M314" s="33"/>
      <c r="N314" s="3"/>
    </row>
    <row r="315" spans="1:14" ht="24.95" customHeight="1">
      <c r="A315" s="757"/>
      <c r="B315" s="27" t="s">
        <v>94</v>
      </c>
      <c r="C315" s="151" t="s">
        <v>6670</v>
      </c>
      <c r="D315" s="30"/>
      <c r="E315" s="30"/>
      <c r="F315" s="30"/>
      <c r="G315" s="30"/>
      <c r="H315" s="27" t="s">
        <v>7267</v>
      </c>
      <c r="I315" s="48">
        <v>15</v>
      </c>
      <c r="J315" s="152" t="s">
        <v>32</v>
      </c>
      <c r="K315" s="30"/>
      <c r="L315" s="30"/>
      <c r="M315" s="33"/>
      <c r="N315" s="3"/>
    </row>
    <row r="316" spans="1:14" ht="24.95" customHeight="1">
      <c r="A316" s="757"/>
      <c r="B316" s="27"/>
      <c r="C316" s="52" t="str">
        <f>UPPER(LEFT(C313,1)) &amp; " . " &amp; UPPER(LEFT(C313,1)) &amp; LOWER(MID(C313,2,999)) &amp; " . " &amp; UPPER(LEFT(F313,1)) &amp; LOWER(MID(F313,2,999)) &amp; " . " &amp; UPPER(LEFT(I313,1)) &amp; LOWER(MID(I313,2,999)) &amp; " . " &amp; "Verre " &amp; UPPER(LEFT(F314,1)) &amp; LOWER(MID(F314,2,999)) &amp; IF(LEFT(L313,1)=UPPER(LEFT(L313,1)),".","") &amp; UPPER(LEFT(L313,1)) &amp; LOWER(MID(L313,2,999))&amp;"  couleur"&amp;" "&amp;C314&amp;"  intensité"&amp;" "&amp;C315</f>
        <v>N . Nom du cocktail . Avec ou sans alcool . Quand  . Verre Tumbler (old fashioned).Famille  couleur Couleur dominante à coller  intensité ****  précisez</v>
      </c>
      <c r="D316" s="52"/>
      <c r="E316" s="52"/>
      <c r="F316" s="52"/>
      <c r="G316" s="52"/>
      <c r="H316" s="52"/>
      <c r="I316" s="52"/>
      <c r="J316" s="52"/>
      <c r="K316" s="52"/>
      <c r="L316" s="30"/>
      <c r="M316" s="33"/>
      <c r="N316" s="3"/>
    </row>
    <row r="317" spans="1:14" ht="24.95" customHeight="1">
      <c r="A317" s="757"/>
      <c r="B317" s="27" t="s">
        <v>110</v>
      </c>
      <c r="C317" s="55" t="s">
        <v>111</v>
      </c>
      <c r="D317" s="55"/>
      <c r="E317" s="154"/>
      <c r="F317" s="154"/>
      <c r="G317" s="154"/>
      <c r="H317" s="154"/>
      <c r="I317" s="154"/>
      <c r="J317" s="154"/>
      <c r="K317" s="154"/>
      <c r="L317" s="30"/>
      <c r="M317" s="33"/>
      <c r="N317" s="3"/>
    </row>
    <row r="318" spans="1:14" ht="24.95" customHeight="1">
      <c r="A318" s="757"/>
      <c r="B318" s="30"/>
      <c r="C318" s="30"/>
      <c r="D318" s="30"/>
      <c r="E318" s="30"/>
      <c r="F318" s="30"/>
      <c r="G318" s="30"/>
      <c r="H318" s="206"/>
      <c r="I318" s="30"/>
      <c r="J318" s="30"/>
      <c r="K318" s="30"/>
      <c r="L318" s="30"/>
      <c r="M318" s="33"/>
      <c r="N318" s="3"/>
    </row>
    <row r="319" spans="1:14" ht="24.95" customHeight="1">
      <c r="A319" s="757"/>
      <c r="B319" s="57" t="s">
        <v>121</v>
      </c>
      <c r="C319" s="58" t="s">
        <v>568</v>
      </c>
      <c r="D319" s="58"/>
      <c r="E319" s="59"/>
      <c r="F319" s="57" t="s">
        <v>123</v>
      </c>
      <c r="G319" s="58"/>
      <c r="H319" s="60"/>
      <c r="I319" s="60"/>
      <c r="J319" s="61"/>
      <c r="K319" s="61"/>
      <c r="L319" s="61"/>
      <c r="M319" s="62"/>
      <c r="N319" s="3"/>
    </row>
    <row r="320" spans="1:14" ht="24.95" customHeight="1">
      <c r="A320" s="757"/>
      <c r="B320" s="10" t="s">
        <v>131</v>
      </c>
      <c r="C320" s="10" t="s">
        <v>132</v>
      </c>
      <c r="D320" s="10"/>
      <c r="E320" s="10"/>
      <c r="F320" s="10"/>
      <c r="G320" s="10"/>
      <c r="H320" s="10"/>
      <c r="I320" s="10"/>
      <c r="J320" s="11" t="str">
        <f>IF(COUNTIF(C322:C328,"*~**")+COUNTIF(C322:C328,"*~?*")=0,"",IF(COUNTIF(C322:C328,"*~**")&gt;0,COUNTIF(C322:C328,"*~**")&amp;" allergène"&amp;IF(COUNTIF(C322:C328,"*~**")&gt;1,"s","")&amp;" repéré"&amp;IF(COUNTIF(C322:C328,"*~**")&gt;1,"s","")&amp;" par *","")&amp;IF(AND(COUNTIF(C322:C328,"*~**")&gt;0,COUNTIF(C322:C328,"*~?*")&gt;0)," | ","")&amp;IF(COUNTIF(C322:C328,"*~?*")&gt;0,COUNTIF(C322:C328,"*~?*")&amp;" produit"&amp;IF(COUNTIF(C322:C328,"*~?*")&gt;1,"s","")&amp;" à vérifier par ?",""))</f>
        <v/>
      </c>
      <c r="K320" s="10"/>
      <c r="L320" s="10"/>
      <c r="M320" s="63"/>
    </row>
    <row r="321" spans="1:14" ht="24.95" customHeight="1">
      <c r="A321" s="757"/>
      <c r="B321" s="66">
        <v>0</v>
      </c>
      <c r="C321" s="64" t="s">
        <v>141</v>
      </c>
      <c r="D321" s="65" t="s">
        <v>142</v>
      </c>
      <c r="E321" s="64" t="s">
        <v>9</v>
      </c>
      <c r="F321" s="66" t="s">
        <v>143</v>
      </c>
      <c r="G321" s="66" t="s">
        <v>144</v>
      </c>
      <c r="H321" s="66" t="s">
        <v>145</v>
      </c>
      <c r="I321" s="67" t="s">
        <v>146</v>
      </c>
      <c r="J321" s="67" t="s">
        <v>847</v>
      </c>
      <c r="K321" s="67" t="s">
        <v>148</v>
      </c>
      <c r="L321" s="67" t="s">
        <v>149</v>
      </c>
      <c r="M321" s="68" t="s">
        <v>150</v>
      </c>
      <c r="N321" s="3"/>
    </row>
    <row r="322" spans="1:14" ht="24.95" customHeight="1">
      <c r="A322" s="757"/>
      <c r="B322" s="158">
        <v>1</v>
      </c>
      <c r="C322" s="70"/>
      <c r="D322" s="79"/>
      <c r="E322" s="3"/>
      <c r="F322" s="72"/>
      <c r="G322" s="159"/>
      <c r="H322" s="160"/>
      <c r="I322" s="161"/>
      <c r="J322" s="73" t="s">
        <v>849</v>
      </c>
      <c r="K322" s="73"/>
      <c r="L322" s="73"/>
      <c r="M322" s="74"/>
      <c r="N322" s="3"/>
    </row>
    <row r="323" spans="1:14" ht="24.95" customHeight="1">
      <c r="A323" s="757"/>
      <c r="B323" s="162">
        <v>2</v>
      </c>
      <c r="C323" s="70"/>
      <c r="D323" s="79"/>
      <c r="E323" s="3"/>
      <c r="F323" s="72"/>
      <c r="G323" s="159"/>
      <c r="H323" s="160"/>
      <c r="I323" s="161"/>
      <c r="J323" s="73" t="s">
        <v>6989</v>
      </c>
      <c r="K323" s="73"/>
      <c r="L323" s="73"/>
      <c r="M323" s="74"/>
      <c r="N323" s="3"/>
    </row>
    <row r="324" spans="1:14" ht="24.95" customHeight="1">
      <c r="A324" s="757"/>
      <c r="B324" s="158">
        <v>3</v>
      </c>
      <c r="C324" s="70"/>
      <c r="D324" s="79"/>
      <c r="E324" s="3"/>
      <c r="F324" s="72"/>
      <c r="G324" s="159"/>
      <c r="H324" s="160"/>
      <c r="I324" s="161"/>
      <c r="J324" s="73" t="s">
        <v>6990</v>
      </c>
      <c r="K324" s="73"/>
      <c r="L324" s="73"/>
      <c r="M324" s="74"/>
      <c r="N324" s="3"/>
    </row>
    <row r="325" spans="1:14" ht="24.95" customHeight="1">
      <c r="A325" s="757"/>
      <c r="B325" s="162">
        <v>4</v>
      </c>
      <c r="C325" s="70"/>
      <c r="D325" s="79"/>
      <c r="E325" s="3"/>
      <c r="F325" s="72"/>
      <c r="G325" s="159"/>
      <c r="H325" s="160"/>
      <c r="I325" s="161"/>
      <c r="J325" s="73" t="s">
        <v>6991</v>
      </c>
      <c r="K325" s="73"/>
      <c r="L325" s="73"/>
      <c r="M325" s="74"/>
      <c r="N325" s="3"/>
    </row>
    <row r="326" spans="1:14" ht="24.95" customHeight="1">
      <c r="A326" s="757"/>
      <c r="B326" s="158">
        <v>5</v>
      </c>
      <c r="C326" s="70"/>
      <c r="D326" s="79"/>
      <c r="E326" s="3"/>
      <c r="F326" s="72"/>
      <c r="G326" s="159"/>
      <c r="H326" s="160"/>
      <c r="I326" s="161"/>
      <c r="J326" s="73" t="s">
        <v>6992</v>
      </c>
      <c r="K326" s="73"/>
      <c r="L326" s="73"/>
      <c r="M326" s="74"/>
      <c r="N326" s="3"/>
    </row>
    <row r="327" spans="1:14" ht="24.95" customHeight="1">
      <c r="A327" s="757"/>
      <c r="B327" s="162"/>
      <c r="C327" s="70"/>
      <c r="D327" s="79"/>
      <c r="E327" s="3"/>
      <c r="F327" s="72"/>
      <c r="G327" s="159"/>
      <c r="H327" s="160"/>
      <c r="I327" s="161"/>
      <c r="J327" s="73" t="s">
        <v>243</v>
      </c>
      <c r="K327" s="73"/>
      <c r="L327" s="73"/>
      <c r="M327" s="74"/>
      <c r="N327" s="3"/>
    </row>
    <row r="328" spans="1:14" ht="24.95" customHeight="1">
      <c r="A328" s="757"/>
      <c r="B328" s="158"/>
      <c r="C328" s="70"/>
      <c r="D328" s="79"/>
      <c r="E328" s="3"/>
      <c r="F328" s="72"/>
      <c r="G328" s="159"/>
      <c r="H328" s="160"/>
      <c r="I328" s="161"/>
      <c r="J328" s="73" t="s">
        <v>6995</v>
      </c>
      <c r="K328" s="73"/>
      <c r="L328" s="73"/>
      <c r="M328" s="74"/>
      <c r="N328" s="3"/>
    </row>
    <row r="329" spans="1:14" ht="24.95" customHeight="1">
      <c r="A329" s="757"/>
      <c r="B329" s="14" t="s">
        <v>44</v>
      </c>
      <c r="C329" s="146" t="s">
        <v>198</v>
      </c>
      <c r="D329" s="89"/>
      <c r="E329" s="89"/>
      <c r="F329" s="89"/>
      <c r="G329" s="89"/>
      <c r="H329" s="89"/>
      <c r="I329" s="89"/>
      <c r="J329" s="89" t="s">
        <v>6996</v>
      </c>
      <c r="K329" s="89"/>
      <c r="L329" s="89"/>
      <c r="M329" s="90"/>
      <c r="N329" s="3"/>
    </row>
    <row r="330" spans="1:14" ht="24.95" customHeight="1">
      <c r="A330" s="757"/>
      <c r="B330" s="91">
        <v>0</v>
      </c>
      <c r="C330" s="10" t="s">
        <v>491</v>
      </c>
      <c r="D330" s="11"/>
      <c r="E330" s="11"/>
      <c r="F330" s="11"/>
      <c r="G330" s="11"/>
      <c r="H330" s="11"/>
      <c r="I330" s="11"/>
      <c r="J330" s="11"/>
      <c r="K330" s="11"/>
      <c r="L330" s="11"/>
      <c r="M330" s="92"/>
      <c r="N330" s="3"/>
    </row>
    <row r="331" spans="1:14" ht="24.95" customHeight="1">
      <c r="A331" s="757"/>
      <c r="B331" s="95">
        <v>1</v>
      </c>
      <c r="C331" s="96" t="s">
        <v>7268</v>
      </c>
      <c r="D331" s="96"/>
      <c r="E331" s="96"/>
      <c r="F331" s="96"/>
      <c r="G331" s="96"/>
      <c r="H331" s="96"/>
      <c r="I331" s="96"/>
      <c r="J331" s="96"/>
      <c r="K331" s="96"/>
      <c r="L331" s="96"/>
      <c r="M331" s="74"/>
      <c r="N331" s="3"/>
    </row>
    <row r="332" spans="1:14" ht="24.95" customHeight="1">
      <c r="A332" s="757"/>
      <c r="B332" s="95">
        <v>2</v>
      </c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74"/>
      <c r="N332" s="3"/>
    </row>
    <row r="333" spans="1:14" ht="24.95" customHeight="1">
      <c r="A333" s="757"/>
      <c r="B333" s="95">
        <v>3</v>
      </c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74"/>
      <c r="N333" s="3"/>
    </row>
    <row r="334" spans="1:14" ht="24.95" customHeight="1">
      <c r="A334" s="757"/>
      <c r="B334" s="95">
        <v>4</v>
      </c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74"/>
      <c r="N334" s="3"/>
    </row>
    <row r="335" spans="1:14" ht="24.95" customHeight="1">
      <c r="A335" s="757"/>
      <c r="B335" s="95">
        <v>5</v>
      </c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74"/>
      <c r="N335" s="3"/>
    </row>
    <row r="336" spans="1:14" ht="24.95" customHeight="1">
      <c r="A336" s="757"/>
      <c r="B336" s="95">
        <v>6</v>
      </c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74"/>
      <c r="N336" s="3"/>
    </row>
    <row r="337" spans="1:14" ht="24.95" customHeight="1">
      <c r="A337" s="757"/>
      <c r="B337" s="95">
        <v>7</v>
      </c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74"/>
      <c r="N337" s="3"/>
    </row>
    <row r="338" spans="1:14" ht="24.95" customHeight="1">
      <c r="A338" s="757"/>
      <c r="B338" s="95">
        <v>8</v>
      </c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74"/>
      <c r="N338" s="3"/>
    </row>
    <row r="339" spans="1:14" ht="24.95" customHeight="1">
      <c r="A339" s="757"/>
      <c r="B339" s="101"/>
      <c r="C339" s="89"/>
      <c r="D339" s="89"/>
      <c r="E339" s="89"/>
      <c r="F339" s="89"/>
      <c r="G339" s="89"/>
      <c r="H339" s="89"/>
      <c r="I339" s="89"/>
      <c r="J339" s="89"/>
      <c r="K339" s="89"/>
      <c r="L339" s="89"/>
      <c r="M339" s="90"/>
      <c r="N339" s="3"/>
    </row>
    <row r="340" spans="1:14" ht="24.95" customHeight="1">
      <c r="A340" s="757"/>
      <c r="B340" s="10" t="s">
        <v>258</v>
      </c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92"/>
      <c r="N340" s="3"/>
    </row>
    <row r="341" spans="1:14" ht="24.95" customHeight="1">
      <c r="A341" s="757"/>
      <c r="B341" s="102" t="s">
        <v>259</v>
      </c>
      <c r="C341" s="73" t="s">
        <v>7269</v>
      </c>
      <c r="D341" s="73"/>
      <c r="E341" s="73"/>
      <c r="F341" s="73"/>
      <c r="G341" s="73"/>
      <c r="H341" s="73"/>
      <c r="I341" s="73"/>
      <c r="J341" s="73"/>
      <c r="K341" s="73"/>
      <c r="L341" s="73"/>
      <c r="M341" s="74"/>
      <c r="N341" s="3"/>
    </row>
    <row r="342" spans="1:14" ht="24.95" customHeight="1">
      <c r="A342" s="757"/>
      <c r="B342" s="102" t="s">
        <v>262</v>
      </c>
      <c r="C342" s="73" t="s">
        <v>7270</v>
      </c>
      <c r="D342" s="73"/>
      <c r="E342" s="73"/>
      <c r="F342" s="73"/>
      <c r="G342" s="73"/>
      <c r="H342" s="73"/>
      <c r="I342" s="73"/>
      <c r="J342" s="73"/>
      <c r="K342" s="73"/>
      <c r="L342" s="73"/>
      <c r="M342" s="74"/>
      <c r="N342" s="3"/>
    </row>
    <row r="343" spans="1:14" ht="24.95" customHeight="1">
      <c r="A343" s="757"/>
      <c r="B343" s="104" t="s">
        <v>267</v>
      </c>
      <c r="C343" s="105" t="s">
        <v>124</v>
      </c>
      <c r="D343" s="73"/>
      <c r="E343" s="73"/>
      <c r="F343" s="73"/>
      <c r="G343" s="73"/>
      <c r="H343" s="73"/>
      <c r="I343" s="73"/>
      <c r="J343" s="73"/>
      <c r="K343" s="73"/>
      <c r="L343" s="73"/>
      <c r="M343" s="74"/>
      <c r="N343" s="3"/>
    </row>
    <row r="344" spans="1:14" ht="24.95" customHeight="1">
      <c r="A344" s="758"/>
      <c r="B344" s="106"/>
      <c r="C344" s="106"/>
      <c r="D344" s="106"/>
      <c r="E344" s="106"/>
      <c r="F344" s="106"/>
      <c r="G344" s="106"/>
      <c r="H344" s="106"/>
      <c r="I344" s="106"/>
      <c r="J344" s="106"/>
      <c r="K344" s="106"/>
      <c r="L344" s="106"/>
      <c r="M344" s="107" t="s">
        <v>272</v>
      </c>
      <c r="N344" s="3"/>
    </row>
    <row r="345" spans="1:14" ht="24.95" customHeight="1">
      <c r="N345" s="3"/>
    </row>
    <row r="346" spans="1:14" ht="24.95" customHeight="1">
      <c r="A346" s="149" t="s">
        <v>59</v>
      </c>
      <c r="B346" s="755" t="s">
        <v>60</v>
      </c>
      <c r="C346" s="755"/>
      <c r="D346" s="755"/>
      <c r="E346" s="755"/>
      <c r="F346" s="755"/>
      <c r="G346" s="755"/>
      <c r="H346" s="755"/>
      <c r="I346" s="755"/>
      <c r="J346" s="755"/>
      <c r="K346" s="755"/>
      <c r="L346" s="755"/>
      <c r="M346" s="755"/>
      <c r="N346" s="3"/>
    </row>
    <row r="347" spans="1:14" ht="24.95" customHeight="1">
      <c r="A347" s="757"/>
      <c r="B347" s="27" t="s">
        <v>67</v>
      </c>
      <c r="C347" s="28" t="s">
        <v>6668</v>
      </c>
      <c r="D347" s="28"/>
      <c r="E347" s="27" t="s">
        <v>69</v>
      </c>
      <c r="F347" s="355" t="s">
        <v>558</v>
      </c>
      <c r="G347" s="30"/>
      <c r="H347" s="27" t="s">
        <v>71</v>
      </c>
      <c r="I347" s="356" t="s">
        <v>564</v>
      </c>
      <c r="J347" s="30"/>
      <c r="K347" s="27" t="s">
        <v>73</v>
      </c>
      <c r="L347" s="714" t="s">
        <v>10</v>
      </c>
      <c r="M347" s="33"/>
      <c r="N347" s="3"/>
    </row>
    <row r="348" spans="1:14" ht="24.95" customHeight="1">
      <c r="A348" s="757"/>
      <c r="B348" s="27" t="s">
        <v>80</v>
      </c>
      <c r="C348" s="38" t="s">
        <v>561</v>
      </c>
      <c r="D348" s="30"/>
      <c r="E348" s="27" t="s">
        <v>82</v>
      </c>
      <c r="F348" s="39" t="s">
        <v>83</v>
      </c>
      <c r="G348" s="30"/>
      <c r="H348" s="27" t="s">
        <v>84</v>
      </c>
      <c r="I348" s="40">
        <v>1</v>
      </c>
      <c r="J348" s="41" t="s">
        <v>83</v>
      </c>
      <c r="K348" s="41"/>
      <c r="L348" s="42" t="s">
        <v>76</v>
      </c>
      <c r="M348" s="33"/>
      <c r="N348" s="3"/>
    </row>
    <row r="349" spans="1:14" ht="24.95" customHeight="1">
      <c r="A349" s="757"/>
      <c r="B349" s="27" t="s">
        <v>94</v>
      </c>
      <c r="C349" s="151" t="s">
        <v>6670</v>
      </c>
      <c r="D349" s="30"/>
      <c r="E349" s="30"/>
      <c r="F349" s="30"/>
      <c r="G349" s="30"/>
      <c r="H349" s="27" t="s">
        <v>7267</v>
      </c>
      <c r="I349" s="48">
        <v>15</v>
      </c>
      <c r="J349" s="152" t="s">
        <v>32</v>
      </c>
      <c r="K349" s="30"/>
      <c r="L349" s="30"/>
      <c r="M349" s="33"/>
      <c r="N349" s="3"/>
    </row>
    <row r="350" spans="1:14" ht="24.95" customHeight="1">
      <c r="A350" s="757"/>
      <c r="B350" s="27"/>
      <c r="C350" s="52" t="str">
        <f>UPPER(LEFT(C347,1)) &amp; " . " &amp; UPPER(LEFT(C347,1)) &amp; LOWER(MID(C347,2,999)) &amp; " . " &amp; UPPER(LEFT(F347,1)) &amp; LOWER(MID(F347,2,999)) &amp; " . " &amp; UPPER(LEFT(I347,1)) &amp; LOWER(MID(I347,2,999)) &amp; " . " &amp; "Verre " &amp; UPPER(LEFT(F348,1)) &amp; LOWER(MID(F348,2,999)) &amp; IF(LEFT(L347,1)=UPPER(LEFT(L347,1)),".","") &amp; UPPER(LEFT(L347,1)) &amp; LOWER(MID(L347,2,999))&amp;"  couleur"&amp;" "&amp;C348&amp;"  intensité"&amp;" "&amp;C349</f>
        <v>N . Nom du cocktail . Avec ou sans alcool . Quand  . Verre Tumbler (old fashioned).Famille  couleur Couleur dominante à coller  intensité ****  précisez</v>
      </c>
      <c r="D350" s="52"/>
      <c r="E350" s="52"/>
      <c r="F350" s="52"/>
      <c r="G350" s="52"/>
      <c r="H350" s="52"/>
      <c r="I350" s="52"/>
      <c r="J350" s="52"/>
      <c r="K350" s="52"/>
      <c r="L350" s="30"/>
      <c r="M350" s="33"/>
      <c r="N350" s="3"/>
    </row>
    <row r="351" spans="1:14" ht="24.95" customHeight="1">
      <c r="A351" s="757"/>
      <c r="B351" s="27" t="s">
        <v>110</v>
      </c>
      <c r="C351" s="55" t="s">
        <v>111</v>
      </c>
      <c r="D351" s="55"/>
      <c r="E351" s="154"/>
      <c r="F351" s="154"/>
      <c r="G351" s="154"/>
      <c r="H351" s="154"/>
      <c r="I351" s="154"/>
      <c r="J351" s="154"/>
      <c r="K351" s="154"/>
      <c r="L351" s="30"/>
      <c r="M351" s="33"/>
      <c r="N351" s="3"/>
    </row>
    <row r="352" spans="1:14" ht="24.95" customHeight="1">
      <c r="A352" s="757"/>
      <c r="B352" s="30"/>
      <c r="C352" s="30"/>
      <c r="D352" s="30"/>
      <c r="E352" s="30"/>
      <c r="F352" s="30"/>
      <c r="G352" s="30"/>
      <c r="H352" s="206"/>
      <c r="I352" s="30"/>
      <c r="J352" s="30"/>
      <c r="K352" s="30"/>
      <c r="L352" s="30"/>
      <c r="M352" s="33"/>
      <c r="N352" s="3"/>
    </row>
    <row r="353" spans="1:14" ht="24.95" customHeight="1">
      <c r="A353" s="757"/>
      <c r="B353" s="57" t="s">
        <v>121</v>
      </c>
      <c r="C353" s="58" t="s">
        <v>568</v>
      </c>
      <c r="D353" s="58"/>
      <c r="E353" s="59"/>
      <c r="F353" s="57" t="s">
        <v>123</v>
      </c>
      <c r="G353" s="58"/>
      <c r="H353" s="60"/>
      <c r="I353" s="60"/>
      <c r="J353" s="61"/>
      <c r="K353" s="61"/>
      <c r="L353" s="61"/>
      <c r="M353" s="62"/>
      <c r="N353" s="3"/>
    </row>
    <row r="354" spans="1:14" ht="24.95" customHeight="1">
      <c r="A354" s="757"/>
      <c r="B354" s="10" t="s">
        <v>131</v>
      </c>
      <c r="C354" s="10" t="s">
        <v>132</v>
      </c>
      <c r="D354" s="10"/>
      <c r="E354" s="10"/>
      <c r="F354" s="10"/>
      <c r="G354" s="10"/>
      <c r="H354" s="10"/>
      <c r="I354" s="10"/>
      <c r="J354" s="11" t="str">
        <f>IF(COUNTIF(C356:C362,"*~**")+COUNTIF(C356:C362,"*~?*")=0,"",IF(COUNTIF(C356:C362,"*~**")&gt;0,COUNTIF(C356:C362,"*~**")&amp;" allergène"&amp;IF(COUNTIF(C356:C362,"*~**")&gt;1,"s","")&amp;" repéré"&amp;IF(COUNTIF(C356:C362,"*~**")&gt;1,"s","")&amp;" par *","")&amp;IF(AND(COUNTIF(C356:C362,"*~**")&gt;0,COUNTIF(C356:C362,"*~?*")&gt;0)," | ","")&amp;IF(COUNTIF(C356:C362,"*~?*")&gt;0,COUNTIF(C356:C362,"*~?*")&amp;" produit"&amp;IF(COUNTIF(C356:C362,"*~?*")&gt;1,"s","")&amp;" à vérifier par ?",""))</f>
        <v/>
      </c>
      <c r="K354" s="10"/>
      <c r="L354" s="10"/>
      <c r="M354" s="63"/>
      <c r="N354" s="3"/>
    </row>
    <row r="355" spans="1:14" ht="24.95" customHeight="1">
      <c r="A355" s="757"/>
      <c r="B355" s="66">
        <v>0</v>
      </c>
      <c r="C355" s="64" t="s">
        <v>141</v>
      </c>
      <c r="D355" s="65" t="s">
        <v>142</v>
      </c>
      <c r="E355" s="64" t="s">
        <v>9</v>
      </c>
      <c r="F355" s="66" t="s">
        <v>143</v>
      </c>
      <c r="G355" s="66" t="s">
        <v>144</v>
      </c>
      <c r="H355" s="66" t="s">
        <v>145</v>
      </c>
      <c r="I355" s="67" t="s">
        <v>146</v>
      </c>
      <c r="J355" s="67" t="s">
        <v>847</v>
      </c>
      <c r="K355" s="67" t="s">
        <v>148</v>
      </c>
      <c r="L355" s="67" t="s">
        <v>149</v>
      </c>
      <c r="M355" s="68" t="s">
        <v>150</v>
      </c>
    </row>
    <row r="356" spans="1:14" ht="24.95" customHeight="1">
      <c r="A356" s="757"/>
      <c r="B356" s="158">
        <v>1</v>
      </c>
      <c r="C356" s="70"/>
      <c r="D356" s="79"/>
      <c r="E356" s="3"/>
      <c r="F356" s="72"/>
      <c r="G356" s="159"/>
      <c r="H356" s="160"/>
      <c r="I356" s="161"/>
      <c r="J356" s="73" t="s">
        <v>849</v>
      </c>
      <c r="K356" s="73"/>
      <c r="L356" s="73"/>
      <c r="M356" s="74"/>
    </row>
    <row r="357" spans="1:14" ht="24.95" customHeight="1">
      <c r="A357" s="757"/>
      <c r="B357" s="162">
        <v>2</v>
      </c>
      <c r="C357" s="70"/>
      <c r="D357" s="79"/>
      <c r="E357" s="3"/>
      <c r="F357" s="72"/>
      <c r="G357" s="159"/>
      <c r="H357" s="160"/>
      <c r="I357" s="161"/>
      <c r="J357" s="73" t="s">
        <v>6989</v>
      </c>
      <c r="K357" s="73"/>
      <c r="L357" s="73"/>
      <c r="M357" s="74"/>
    </row>
    <row r="358" spans="1:14" ht="24.95" customHeight="1">
      <c r="A358" s="757"/>
      <c r="B358" s="158">
        <v>3</v>
      </c>
      <c r="C358" s="70"/>
      <c r="D358" s="79"/>
      <c r="E358" s="3"/>
      <c r="F358" s="72"/>
      <c r="G358" s="159"/>
      <c r="H358" s="160"/>
      <c r="I358" s="161"/>
      <c r="J358" s="73" t="s">
        <v>6990</v>
      </c>
      <c r="K358" s="73"/>
      <c r="L358" s="73"/>
      <c r="M358" s="74"/>
    </row>
    <row r="359" spans="1:14" ht="24.95" customHeight="1">
      <c r="A359" s="757"/>
      <c r="B359" s="162">
        <v>4</v>
      </c>
      <c r="C359" s="70"/>
      <c r="D359" s="79"/>
      <c r="E359" s="3"/>
      <c r="F359" s="72"/>
      <c r="G359" s="159"/>
      <c r="H359" s="160"/>
      <c r="I359" s="161"/>
      <c r="J359" s="73" t="s">
        <v>6991</v>
      </c>
      <c r="K359" s="73"/>
      <c r="L359" s="73"/>
      <c r="M359" s="74"/>
    </row>
    <row r="360" spans="1:14" ht="24.95" customHeight="1">
      <c r="A360" s="757"/>
      <c r="B360" s="158">
        <v>5</v>
      </c>
      <c r="C360" s="70"/>
      <c r="D360" s="79"/>
      <c r="E360" s="3"/>
      <c r="F360" s="72"/>
      <c r="G360" s="159"/>
      <c r="H360" s="160"/>
      <c r="I360" s="161"/>
      <c r="J360" s="73" t="s">
        <v>6992</v>
      </c>
      <c r="K360" s="73"/>
      <c r="L360" s="73"/>
      <c r="M360" s="74"/>
    </row>
    <row r="361" spans="1:14" ht="24.95" customHeight="1">
      <c r="A361" s="757"/>
      <c r="B361" s="162"/>
      <c r="C361" s="70"/>
      <c r="D361" s="79"/>
      <c r="E361" s="3"/>
      <c r="F361" s="72"/>
      <c r="G361" s="159"/>
      <c r="H361" s="160"/>
      <c r="I361" s="161"/>
      <c r="J361" s="73" t="s">
        <v>243</v>
      </c>
      <c r="K361" s="73"/>
      <c r="L361" s="73"/>
      <c r="M361" s="74"/>
    </row>
    <row r="362" spans="1:14" ht="24.95" customHeight="1">
      <c r="A362" s="757"/>
      <c r="B362" s="158"/>
      <c r="C362" s="70"/>
      <c r="D362" s="79"/>
      <c r="E362" s="3"/>
      <c r="F362" s="72"/>
      <c r="G362" s="159"/>
      <c r="H362" s="160"/>
      <c r="I362" s="161"/>
      <c r="J362" s="73" t="s">
        <v>6995</v>
      </c>
      <c r="K362" s="73"/>
      <c r="L362" s="73"/>
      <c r="M362" s="74"/>
    </row>
    <row r="363" spans="1:14" ht="24.95" customHeight="1">
      <c r="A363" s="757"/>
      <c r="B363" s="14" t="s">
        <v>44</v>
      </c>
      <c r="C363" s="146" t="s">
        <v>198</v>
      </c>
      <c r="D363" s="89"/>
      <c r="E363" s="89"/>
      <c r="F363" s="89"/>
      <c r="G363" s="89"/>
      <c r="H363" s="89"/>
      <c r="I363" s="89"/>
      <c r="J363" s="89" t="s">
        <v>6996</v>
      </c>
      <c r="K363" s="89"/>
      <c r="L363" s="89"/>
      <c r="M363" s="90"/>
    </row>
    <row r="364" spans="1:14" ht="24.95" customHeight="1">
      <c r="A364" s="757"/>
      <c r="B364" s="91">
        <v>0</v>
      </c>
      <c r="C364" s="10" t="s">
        <v>491</v>
      </c>
      <c r="D364" s="11"/>
      <c r="E364" s="11"/>
      <c r="F364" s="11"/>
      <c r="G364" s="11"/>
      <c r="H364" s="11"/>
      <c r="I364" s="11"/>
      <c r="J364" s="11"/>
      <c r="K364" s="11"/>
      <c r="L364" s="11"/>
      <c r="M364" s="92"/>
    </row>
    <row r="365" spans="1:14" ht="24.95" customHeight="1">
      <c r="A365" s="757"/>
      <c r="B365" s="95">
        <v>1</v>
      </c>
      <c r="C365" s="96" t="s">
        <v>7268</v>
      </c>
      <c r="D365" s="96"/>
      <c r="E365" s="96"/>
      <c r="F365" s="96"/>
      <c r="G365" s="96"/>
      <c r="H365" s="96"/>
      <c r="I365" s="96"/>
      <c r="J365" s="96"/>
      <c r="K365" s="96"/>
      <c r="L365" s="96"/>
      <c r="M365" s="74"/>
    </row>
    <row r="366" spans="1:14" ht="24.95" customHeight="1">
      <c r="A366" s="757"/>
      <c r="B366" s="95">
        <v>2</v>
      </c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74"/>
    </row>
    <row r="367" spans="1:14" ht="24.95" customHeight="1">
      <c r="A367" s="757"/>
      <c r="B367" s="95">
        <v>3</v>
      </c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74"/>
    </row>
    <row r="368" spans="1:14" ht="24.95" customHeight="1">
      <c r="A368" s="757"/>
      <c r="B368" s="95">
        <v>4</v>
      </c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74"/>
    </row>
    <row r="369" spans="1:13" ht="24.95" customHeight="1">
      <c r="A369" s="757"/>
      <c r="B369" s="95">
        <v>5</v>
      </c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74"/>
    </row>
    <row r="370" spans="1:13" ht="24.95" customHeight="1">
      <c r="A370" s="757"/>
      <c r="B370" s="95">
        <v>6</v>
      </c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74"/>
    </row>
    <row r="371" spans="1:13" ht="24.95" customHeight="1">
      <c r="A371" s="757"/>
      <c r="B371" s="95">
        <v>7</v>
      </c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74"/>
    </row>
    <row r="372" spans="1:13" ht="24.95" customHeight="1">
      <c r="A372" s="757"/>
      <c r="B372" s="95">
        <v>8</v>
      </c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74"/>
    </row>
    <row r="373" spans="1:13" ht="24.95" customHeight="1">
      <c r="A373" s="757"/>
      <c r="B373" s="101"/>
      <c r="C373" s="89"/>
      <c r="D373" s="89"/>
      <c r="E373" s="89"/>
      <c r="F373" s="89"/>
      <c r="G373" s="89"/>
      <c r="H373" s="89"/>
      <c r="I373" s="89"/>
      <c r="J373" s="89"/>
      <c r="K373" s="89"/>
      <c r="L373" s="89"/>
      <c r="M373" s="90"/>
    </row>
    <row r="374" spans="1:13" ht="24.95" customHeight="1">
      <c r="A374" s="757"/>
      <c r="B374" s="10" t="s">
        <v>258</v>
      </c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92"/>
    </row>
    <row r="375" spans="1:13" ht="24.95" customHeight="1">
      <c r="A375" s="757"/>
      <c r="B375" s="102" t="s">
        <v>259</v>
      </c>
      <c r="C375" s="73" t="s">
        <v>7269</v>
      </c>
      <c r="D375" s="73"/>
      <c r="E375" s="73"/>
      <c r="F375" s="73"/>
      <c r="G375" s="73"/>
      <c r="H375" s="73"/>
      <c r="I375" s="73"/>
      <c r="J375" s="73"/>
      <c r="K375" s="73"/>
      <c r="L375" s="73"/>
      <c r="M375" s="74"/>
    </row>
    <row r="376" spans="1:13" ht="24.95" customHeight="1">
      <c r="A376" s="757"/>
      <c r="B376" s="102" t="s">
        <v>262</v>
      </c>
      <c r="C376" s="73" t="s">
        <v>7270</v>
      </c>
      <c r="D376" s="73"/>
      <c r="E376" s="73"/>
      <c r="F376" s="73"/>
      <c r="G376" s="73"/>
      <c r="H376" s="73"/>
      <c r="I376" s="73"/>
      <c r="J376" s="73"/>
      <c r="K376" s="73"/>
      <c r="L376" s="73"/>
      <c r="M376" s="74"/>
    </row>
    <row r="377" spans="1:13" ht="24.95" customHeight="1">
      <c r="A377" s="757"/>
      <c r="B377" s="104" t="s">
        <v>267</v>
      </c>
      <c r="C377" s="105" t="s">
        <v>124</v>
      </c>
      <c r="D377" s="73"/>
      <c r="E377" s="73"/>
      <c r="F377" s="73"/>
      <c r="G377" s="73"/>
      <c r="H377" s="73"/>
      <c r="I377" s="73"/>
      <c r="J377" s="73"/>
      <c r="K377" s="73"/>
      <c r="L377" s="73"/>
      <c r="M377" s="74"/>
    </row>
    <row r="378" spans="1:13" ht="24.95" customHeight="1">
      <c r="A378" s="758"/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7" t="s">
        <v>272</v>
      </c>
    </row>
    <row r="379" spans="1:13" ht="24.95" customHeight="1"/>
  </sheetData>
  <mergeCells count="45">
    <mergeCell ref="AL3:AP3"/>
    <mergeCell ref="O2:O3"/>
    <mergeCell ref="Z16:Z17"/>
    <mergeCell ref="AA16:AB17"/>
    <mergeCell ref="AG20:AJ21"/>
    <mergeCell ref="O11:O12"/>
    <mergeCell ref="T3:T4"/>
    <mergeCell ref="V3:V4"/>
    <mergeCell ref="Z34:AC34"/>
    <mergeCell ref="AC16:AF17"/>
    <mergeCell ref="AG16:AJ17"/>
    <mergeCell ref="Z18:Z19"/>
    <mergeCell ref="AA18:AB19"/>
    <mergeCell ref="AC18:AF19"/>
    <mergeCell ref="AG18:AJ19"/>
    <mergeCell ref="Z20:Z21"/>
    <mergeCell ref="AA20:AB21"/>
    <mergeCell ref="AC20:AF21"/>
    <mergeCell ref="Z48:AC48"/>
    <mergeCell ref="Z62:AC62"/>
    <mergeCell ref="O62:O63"/>
    <mergeCell ref="Q62:Q63"/>
    <mergeCell ref="R62:R63"/>
    <mergeCell ref="B346:M346"/>
    <mergeCell ref="A347:A378"/>
    <mergeCell ref="B6:M6"/>
    <mergeCell ref="A7:A38"/>
    <mergeCell ref="B40:M40"/>
    <mergeCell ref="A41:A72"/>
    <mergeCell ref="B74:M74"/>
    <mergeCell ref="A245:A276"/>
    <mergeCell ref="B278:M278"/>
    <mergeCell ref="A279:A310"/>
    <mergeCell ref="B312:M312"/>
    <mergeCell ref="A313:A344"/>
    <mergeCell ref="A75:A106"/>
    <mergeCell ref="B108:M108"/>
    <mergeCell ref="A109:A140"/>
    <mergeCell ref="B142:M142"/>
    <mergeCell ref="A143:A174"/>
    <mergeCell ref="B176:M176"/>
    <mergeCell ref="A177:A208"/>
    <mergeCell ref="B210:M210"/>
    <mergeCell ref="A211:A242"/>
    <mergeCell ref="B244:M244"/>
  </mergeCells>
  <conditionalFormatting sqref="AQ5:AQ122">
    <cfRule type="expression" dxfId="48" priority="8">
      <formula>$AQ5="CONTENANT"</formula>
    </cfRule>
    <cfRule type="expression" dxfId="47" priority="9">
      <formula>$AQ5="MESURE / DOSE"</formula>
    </cfRule>
    <cfRule type="expression" dxfId="46" priority="10">
      <formula>$AQ5="STYLE / FAMILLE"</formula>
    </cfRule>
    <cfRule type="expression" dxfId="45" priority="11">
      <formula>$AQ5="MODE DE SERVICE"</formula>
    </cfRule>
    <cfRule type="expression" dxfId="44" priority="12">
      <formula>$AQ5="MODE DE PRÉPARATION"</formula>
    </cfRule>
    <cfRule type="expression" dxfId="43" priority="13">
      <formula>LEFT($AQ5,7)="BOISSON"</formula>
    </cfRule>
    <cfRule type="expression" dxfId="42" priority="14">
      <formula>LEFT($AQ5,5)="UNITÉ"</formula>
    </cfRule>
  </conditionalFormatting>
  <conditionalFormatting sqref="AQ43:AQ44">
    <cfRule type="expression" dxfId="41" priority="1">
      <formula>#REF!="CONTENANT"</formula>
    </cfRule>
    <cfRule type="expression" dxfId="40" priority="2">
      <formula>#REF!="MESURE / DOSE"</formula>
    </cfRule>
    <cfRule type="expression" dxfId="39" priority="3">
      <formula>#REF!="STYLE / FAMILLE"</formula>
    </cfRule>
    <cfRule type="expression" dxfId="38" priority="4">
      <formula>#REF!="MODE DE SERVICE"</formula>
    </cfRule>
    <cfRule type="expression" dxfId="37" priority="5">
      <formula>#REF!="MODE DE PRÉPARATION"</formula>
    </cfRule>
    <cfRule type="expression" dxfId="36" priority="6">
      <formula>LEFT(#REF!,7)="BOISSON"</formula>
    </cfRule>
    <cfRule type="expression" dxfId="35" priority="7">
      <formula>LEFT(#REF!,5)="UNITÉ"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A2446-016C-4250-8111-FFFA9D234B88}">
  <dimension ref="A1:BC458"/>
  <sheetViews>
    <sheetView zoomScaleNormal="100" workbookViewId="0">
      <selection activeCell="AD1" sqref="AD1"/>
    </sheetView>
  </sheetViews>
  <sheetFormatPr baseColWidth="10" defaultColWidth="10.28515625" defaultRowHeight="15"/>
  <cols>
    <col min="1" max="1" width="6" style="1" customWidth="1"/>
    <col min="2" max="2" width="20.5703125" style="1" customWidth="1"/>
    <col min="3" max="3" width="29.42578125" style="1" customWidth="1"/>
    <col min="4" max="4" width="9.7109375" style="1" customWidth="1"/>
    <col min="5" max="5" width="16" style="1" customWidth="1"/>
    <col min="6" max="6" width="22.85546875" style="1" customWidth="1"/>
    <col min="7" max="7" width="12.5703125" style="1" customWidth="1"/>
    <col min="8" max="8" width="16" style="1" customWidth="1"/>
    <col min="9" max="9" width="20.5703125" style="1" customWidth="1"/>
    <col min="10" max="10" width="14.85546875" style="1" customWidth="1"/>
    <col min="11" max="11" width="17.140625" style="1" customWidth="1"/>
    <col min="12" max="12" width="20.7109375" style="1" customWidth="1"/>
    <col min="13" max="13" width="20.5703125" style="1" customWidth="1"/>
    <col min="14" max="14" width="3.42578125" style="1" customWidth="1"/>
    <col min="15" max="15" width="22.85546875" style="1" customWidth="1"/>
    <col min="16" max="16" width="13.7109375" style="1" customWidth="1"/>
    <col min="17" max="17" width="35.5703125" style="1" customWidth="1"/>
    <col min="18" max="18" width="13.7109375" style="1" customWidth="1"/>
    <col min="19" max="19" width="19.140625" style="1" customWidth="1"/>
    <col min="20" max="20" width="25.140625" style="1" customWidth="1"/>
    <col min="21" max="21" width="20.28515625" style="1" customWidth="1"/>
    <col min="22" max="22" width="39.42578125" style="1" customWidth="1"/>
    <col min="23" max="23" width="16" style="1" customWidth="1"/>
    <col min="24" max="24" width="18.28515625" style="1" customWidth="1"/>
    <col min="25" max="25" width="25.140625" style="1" customWidth="1"/>
    <col min="26" max="26" width="16" style="1" customWidth="1"/>
    <col min="27" max="27" width="13.7109375" style="1" customWidth="1"/>
    <col min="28" max="28" width="14.85546875" style="1" customWidth="1"/>
    <col min="29" max="29" width="19.7109375" style="1" customWidth="1"/>
    <col min="30" max="30" width="17.140625" style="1" customWidth="1"/>
    <col min="31" max="31" width="20.5703125" style="1" customWidth="1"/>
    <col min="32" max="32" width="38.85546875" style="1" customWidth="1"/>
    <col min="33" max="34" width="10.28515625" style="1"/>
    <col min="35" max="35" width="29.140625" style="1" customWidth="1"/>
    <col min="36" max="38" width="18.5703125" style="1" customWidth="1"/>
    <col min="39" max="39" width="19.7109375" style="1" customWidth="1"/>
    <col min="40" max="40" width="18.5703125" style="1" customWidth="1"/>
    <col min="41" max="42" width="17.42578125" style="1" customWidth="1"/>
    <col min="43" max="43" width="20.85546875" style="1" customWidth="1"/>
    <col min="44" max="44" width="11.7109375" style="1" customWidth="1"/>
    <col min="45" max="45" width="16" style="1" customWidth="1"/>
    <col min="46" max="46" width="10.28515625" style="1"/>
    <col min="47" max="47" width="22.85546875" style="1" customWidth="1"/>
    <col min="48" max="50" width="13.7109375" style="1" customWidth="1"/>
    <col min="51" max="51" width="20.5703125" style="1" customWidth="1"/>
    <col min="52" max="52" width="22" style="1" customWidth="1"/>
    <col min="53" max="53" width="10.28515625" style="1"/>
    <col min="54" max="54" width="24" style="1" customWidth="1"/>
    <col min="55" max="55" width="12" style="1" customWidth="1"/>
    <col min="56" max="16384" width="10.28515625" style="1"/>
  </cols>
  <sheetData>
    <row r="1" spans="1:55" ht="44.1" customHeight="1">
      <c r="B1" s="2" t="s">
        <v>0</v>
      </c>
      <c r="C1" s="2"/>
      <c r="D1" s="2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751" t="s">
        <v>2</v>
      </c>
      <c r="P1" s="3"/>
      <c r="Q1" s="695" t="s">
        <v>548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U1" s="4"/>
      <c r="AV1" s="4"/>
      <c r="AW1" s="4"/>
      <c r="AX1" s="4"/>
      <c r="AY1" s="4"/>
      <c r="AZ1" s="4"/>
      <c r="BB1" s="4"/>
      <c r="BC1" s="4"/>
    </row>
    <row r="2" spans="1:55" ht="30" customHeight="1">
      <c r="B2" s="5" t="s">
        <v>3</v>
      </c>
      <c r="C2" s="6" t="s">
        <v>478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51"/>
      <c r="P2" s="3"/>
      <c r="Q2" s="216" t="s">
        <v>7266</v>
      </c>
      <c r="R2" s="3"/>
      <c r="S2" s="3"/>
      <c r="T2" s="3"/>
      <c r="U2" s="3"/>
      <c r="Z2" s="3"/>
      <c r="AA2" s="3"/>
      <c r="AB2" s="3"/>
      <c r="AC2" s="3"/>
      <c r="AD2" s="3"/>
      <c r="AE2" s="3"/>
      <c r="AF2" s="3"/>
      <c r="AU2" s="4"/>
      <c r="AV2" s="4"/>
      <c r="AW2" s="4"/>
      <c r="AX2" s="4"/>
      <c r="AY2" s="4"/>
      <c r="AZ2" s="4"/>
      <c r="BB2" s="4"/>
      <c r="BC2" s="4"/>
    </row>
    <row r="3" spans="1:55" ht="26.25" customHeight="1">
      <c r="B3" s="8" t="s">
        <v>479</v>
      </c>
      <c r="C3" s="709" t="str" cm="1">
        <f t="array" aca="1" ref="C3" ca="1">CELL("nomfichier")</f>
        <v>D:\Données\1.UPRT\0-UPRT.fait\1-UPRT.FR-SITE-WEB\ff-fiches-fabrications\ff.fiches.fabrication.2026\ffr-restaurant-2026\[02-15-fiche-technique-cocktails-06-09-20h-2026.xlsx]Fiche.recette</v>
      </c>
      <c r="D3" s="3"/>
      <c r="E3" s="3"/>
      <c r="F3" s="3"/>
      <c r="G3" s="3"/>
      <c r="H3" s="3"/>
      <c r="I3" s="140"/>
      <c r="J3" s="140"/>
      <c r="K3" s="140"/>
      <c r="L3" s="140"/>
      <c r="M3" s="140"/>
      <c r="N3" s="3"/>
      <c r="O3" s="751" t="s">
        <v>480</v>
      </c>
      <c r="P3" s="3"/>
      <c r="Q3" s="3"/>
      <c r="R3" s="3"/>
      <c r="S3" s="3"/>
      <c r="T3" s="3"/>
      <c r="U3" s="3"/>
      <c r="Z3" s="3"/>
      <c r="AA3" s="3"/>
      <c r="AB3" s="3"/>
      <c r="AC3" s="3"/>
      <c r="AD3" s="3"/>
      <c r="AE3" s="3"/>
      <c r="AF3" s="3"/>
      <c r="AU3" s="752" t="s">
        <v>4</v>
      </c>
      <c r="AV3" s="753"/>
      <c r="AW3" s="753"/>
      <c r="AX3" s="753"/>
      <c r="AY3" s="754"/>
      <c r="AZ3" s="141" t="s">
        <v>5</v>
      </c>
      <c r="BB3" s="141" t="s">
        <v>6</v>
      </c>
      <c r="BC3" s="141"/>
    </row>
    <row r="4" spans="1:55" ht="21.95" customHeight="1">
      <c r="B4" s="140"/>
      <c r="C4" s="710" t="str">
        <f>$C$17</f>
        <v>AMERICANO</v>
      </c>
      <c r="D4" s="710"/>
      <c r="E4" s="140" t="str">
        <f>$C$20</f>
        <v>A . Americano . Avec ou sans alcool . Before dinner . Verre Tumbler (old fashioned).On the rocks  couleur rouge doux  intensité *** amer</v>
      </c>
      <c r="F4" s="140"/>
      <c r="G4" s="140"/>
      <c r="H4" s="140"/>
      <c r="I4" s="140"/>
      <c r="J4" s="140"/>
      <c r="K4" s="140"/>
      <c r="L4" s="140"/>
      <c r="M4" s="140"/>
      <c r="N4" s="3"/>
      <c r="O4" s="751"/>
      <c r="P4" s="3"/>
      <c r="Q4" s="207" t="s">
        <v>844</v>
      </c>
      <c r="R4" s="3"/>
      <c r="S4" s="3"/>
      <c r="T4" s="3"/>
      <c r="U4" s="3"/>
      <c r="Z4" s="3"/>
      <c r="AA4" s="3"/>
      <c r="AB4" s="3"/>
      <c r="AC4" s="3"/>
      <c r="AD4" s="3"/>
      <c r="AE4" s="3"/>
      <c r="AF4" s="3"/>
      <c r="AU4" s="12" t="s">
        <v>9</v>
      </c>
      <c r="AV4" s="13" t="s">
        <v>10</v>
      </c>
      <c r="AW4" s="13" t="s">
        <v>11</v>
      </c>
      <c r="AX4" s="13" t="s">
        <v>12</v>
      </c>
      <c r="AY4" s="13" t="s">
        <v>13</v>
      </c>
      <c r="AZ4" s="142" t="s">
        <v>14</v>
      </c>
      <c r="BB4" s="141" t="s">
        <v>15</v>
      </c>
      <c r="BC4" s="141" t="s">
        <v>16</v>
      </c>
    </row>
    <row r="5" spans="1:55" ht="21.95" customHeight="1">
      <c r="B5" s="140"/>
      <c r="C5" s="710" t="str">
        <f>$C$53</f>
        <v>NOM DU COCKTAIL N°2</v>
      </c>
      <c r="D5" s="710"/>
      <c r="E5" s="140" t="str">
        <f>$C$56</f>
        <v>N . Nom du cocktail n°2 . Avec ou sans alcool . Quand  . Verre Tumbler (old fashioned).Type de cocktail  couleur Couleur dominante à coller  intensité ****  précisez</v>
      </c>
      <c r="F5" s="140"/>
      <c r="G5" s="140"/>
      <c r="H5" s="140"/>
      <c r="I5" s="140"/>
      <c r="J5" s="140"/>
      <c r="K5" s="140"/>
      <c r="L5" s="140"/>
      <c r="M5" s="140"/>
      <c r="N5" s="3"/>
      <c r="O5" s="16" t="s">
        <v>20</v>
      </c>
      <c r="P5" s="3"/>
      <c r="Q5" s="208" t="s">
        <v>845</v>
      </c>
      <c r="R5" s="3"/>
      <c r="S5" s="3"/>
      <c r="T5" s="3"/>
      <c r="U5" s="3"/>
      <c r="Z5" s="3"/>
      <c r="AA5" s="3"/>
      <c r="AB5" s="3"/>
      <c r="AC5" s="3"/>
      <c r="AD5" s="3"/>
      <c r="AE5" s="3"/>
      <c r="AF5" s="3"/>
      <c r="AU5" s="16" t="s">
        <v>20</v>
      </c>
      <c r="AV5" s="17" t="s">
        <v>21</v>
      </c>
      <c r="AW5" s="17">
        <v>1000</v>
      </c>
      <c r="AX5" s="17" t="s">
        <v>22</v>
      </c>
      <c r="AY5" s="17" t="s">
        <v>20</v>
      </c>
      <c r="AZ5" s="143" t="s">
        <v>23</v>
      </c>
      <c r="BB5" s="144" t="s">
        <v>24</v>
      </c>
      <c r="BC5" s="145">
        <v>35</v>
      </c>
    </row>
    <row r="6" spans="1:55" ht="21.95" customHeight="1">
      <c r="B6" s="140"/>
      <c r="C6" s="710" t="str">
        <f>$C$89</f>
        <v>NOM DU COCKTAIL N°3</v>
      </c>
      <c r="D6" s="710"/>
      <c r="E6" s="140" t="str">
        <f>$C$92</f>
        <v>N . Nom du cocktail n°3 . Avec ou sans alcool . Quand  . Verre Tumbler (old fashioned).Type de cocktail  couleur Couleur dominante à coller  intensité ****  précisez</v>
      </c>
      <c r="F6" s="140"/>
      <c r="G6" s="140"/>
      <c r="H6" s="140"/>
      <c r="I6" s="140"/>
      <c r="J6" s="140"/>
      <c r="K6" s="140"/>
      <c r="L6" s="140"/>
      <c r="M6" s="140"/>
      <c r="N6" s="3"/>
      <c r="O6" s="18" t="s">
        <v>28</v>
      </c>
      <c r="P6" s="3"/>
      <c r="Q6" s="208" t="s">
        <v>846</v>
      </c>
      <c r="R6" s="3"/>
      <c r="S6" s="3"/>
      <c r="T6" s="3"/>
      <c r="U6" s="3"/>
      <c r="Z6" s="3"/>
      <c r="AA6" s="3"/>
      <c r="AB6" s="3"/>
      <c r="AC6" s="3"/>
      <c r="AD6" s="3"/>
      <c r="AE6" s="3"/>
      <c r="AF6" s="3"/>
      <c r="AU6" s="18" t="s">
        <v>28</v>
      </c>
      <c r="AV6" s="17" t="s">
        <v>21</v>
      </c>
      <c r="AW6" s="17">
        <v>100</v>
      </c>
      <c r="AX6" s="17" t="s">
        <v>22</v>
      </c>
      <c r="AY6" s="17" t="s">
        <v>28</v>
      </c>
      <c r="AZ6" s="143" t="s">
        <v>23</v>
      </c>
      <c r="BB6" s="144" t="s">
        <v>29</v>
      </c>
      <c r="BC6" s="145">
        <v>30</v>
      </c>
    </row>
    <row r="7" spans="1:55" ht="21.95" customHeight="1">
      <c r="B7" s="140"/>
      <c r="C7" s="710" t="str">
        <f>$C$125</f>
        <v>NOM DU COCKTAIL N°4</v>
      </c>
      <c r="D7" s="710"/>
      <c r="E7" s="140" t="str">
        <f>$C$128</f>
        <v>N . Nom du cocktail n°4 . Avec ou sans alcool . Quand  . Verre Tumbler (old fashioned).Type de cocktail  couleur Couleur dominante à coller  intensité ****  précisez</v>
      </c>
      <c r="F7" s="140"/>
      <c r="G7" s="140"/>
      <c r="H7" s="140"/>
      <c r="I7" s="140"/>
      <c r="J7" s="140"/>
      <c r="K7" s="140"/>
      <c r="L7" s="140"/>
      <c r="M7" s="140"/>
      <c r="N7" s="3"/>
      <c r="O7" s="18" t="s">
        <v>32</v>
      </c>
      <c r="P7" s="3"/>
      <c r="Q7" s="3"/>
      <c r="R7" s="3"/>
      <c r="S7" s="3"/>
      <c r="T7" s="3"/>
      <c r="U7" s="3"/>
      <c r="Z7" s="3"/>
      <c r="AA7" s="3"/>
      <c r="AB7" s="3"/>
      <c r="AC7" s="3"/>
      <c r="AD7" s="3"/>
      <c r="AE7" s="3"/>
      <c r="AF7" s="3"/>
      <c r="AU7" s="18" t="s">
        <v>32</v>
      </c>
      <c r="AV7" s="17" t="s">
        <v>21</v>
      </c>
      <c r="AW7" s="17">
        <v>10</v>
      </c>
      <c r="AX7" s="17" t="s">
        <v>22</v>
      </c>
      <c r="AY7" s="17" t="s">
        <v>32</v>
      </c>
      <c r="AZ7" s="143" t="s">
        <v>23</v>
      </c>
      <c r="BB7" s="144" t="s">
        <v>33</v>
      </c>
      <c r="BC7" s="145">
        <v>40</v>
      </c>
    </row>
    <row r="8" spans="1:55" ht="21.95" customHeight="1">
      <c r="B8" s="140"/>
      <c r="C8" s="710" t="str">
        <f>$C$161</f>
        <v>NOM DU COCKTAIL N°5</v>
      </c>
      <c r="D8" s="710"/>
      <c r="E8" s="140" t="str">
        <f>$C$164</f>
        <v>N . Nom du cocktail n°5 . Avec ou sans alcool . Quand  . Verre Tumbler (old fashioned).Type de cocktail  couleur Couleur dominante à coller  intensité ****  précisez</v>
      </c>
      <c r="F8" s="140"/>
      <c r="G8" s="140"/>
      <c r="H8" s="140"/>
      <c r="I8" s="140"/>
      <c r="J8" s="140"/>
      <c r="K8" s="140"/>
      <c r="L8" s="140"/>
      <c r="M8" s="140"/>
      <c r="N8" s="3"/>
      <c r="O8" s="18" t="s">
        <v>22</v>
      </c>
      <c r="P8" s="3"/>
      <c r="Q8" s="3"/>
      <c r="R8" s="3"/>
      <c r="S8" s="3"/>
      <c r="T8" s="3"/>
      <c r="U8" s="3"/>
      <c r="Z8" s="3"/>
      <c r="AA8" s="3"/>
      <c r="AB8" s="3"/>
      <c r="AC8" s="3"/>
      <c r="AD8" s="3"/>
      <c r="AE8" s="3"/>
      <c r="AF8" s="3"/>
      <c r="AU8" s="18" t="s">
        <v>22</v>
      </c>
      <c r="AV8" s="17" t="s">
        <v>21</v>
      </c>
      <c r="AW8" s="17">
        <v>1</v>
      </c>
      <c r="AX8" s="17" t="s">
        <v>22</v>
      </c>
      <c r="AY8" s="17" t="s">
        <v>22</v>
      </c>
      <c r="AZ8" s="143" t="s">
        <v>23</v>
      </c>
      <c r="BB8" s="144" t="s">
        <v>36</v>
      </c>
      <c r="BC8" s="145">
        <v>18</v>
      </c>
    </row>
    <row r="9" spans="1:55" ht="21.95" customHeight="1">
      <c r="B9" s="140"/>
      <c r="C9" s="710" t="str">
        <f>$C$197</f>
        <v>NOM DU COCKTAIL N°6</v>
      </c>
      <c r="D9" s="710"/>
      <c r="E9" s="140" t="str">
        <f>$C$200</f>
        <v>N . Nom du cocktail n°6 . Avec ou sans alcool . Quand  . Verre Tumbler (old fashioned).Type de cocktail  couleur Couleur dominante à coller  intensité ****  précisez</v>
      </c>
      <c r="F9" s="140"/>
      <c r="G9" s="140"/>
      <c r="H9" s="140"/>
      <c r="I9" s="140"/>
      <c r="J9" s="140"/>
      <c r="K9" s="140"/>
      <c r="L9" s="140"/>
      <c r="M9" s="140"/>
      <c r="N9" s="3"/>
      <c r="O9" s="20" t="s">
        <v>39</v>
      </c>
      <c r="P9" s="3"/>
      <c r="Q9" s="3"/>
      <c r="R9" s="3"/>
      <c r="S9" s="3"/>
      <c r="T9" s="3"/>
      <c r="U9" s="3"/>
      <c r="Z9" s="3"/>
      <c r="AA9" s="3"/>
      <c r="AB9" s="3"/>
      <c r="AC9" s="3"/>
      <c r="AD9" s="3"/>
      <c r="AE9" s="3"/>
      <c r="AF9" s="3"/>
      <c r="AU9" s="20" t="s">
        <v>39</v>
      </c>
      <c r="AV9" s="17" t="s">
        <v>21</v>
      </c>
      <c r="AW9" s="17">
        <v>500</v>
      </c>
      <c r="AX9" s="17" t="s">
        <v>22</v>
      </c>
      <c r="AY9" s="17" t="s">
        <v>20</v>
      </c>
      <c r="AZ9" s="143" t="s">
        <v>23</v>
      </c>
      <c r="BB9" s="144" t="s">
        <v>40</v>
      </c>
      <c r="BC9" s="145">
        <v>18</v>
      </c>
    </row>
    <row r="10" spans="1:55" ht="21.95" customHeight="1">
      <c r="B10" s="140"/>
      <c r="C10" s="710" t="str">
        <f>$C$233</f>
        <v>NOM DU COCKTAIL N°7</v>
      </c>
      <c r="D10" s="710"/>
      <c r="E10" s="140" t="str">
        <f>$C$236</f>
        <v>N . Nom du cocktail n°7 . Avec ou sans alcool . Quand  . Verre Tumbler (old fashioned).Type de cocktail  couleur Couleur dominante à coller  intensité ****  précisez</v>
      </c>
      <c r="F10" s="140"/>
      <c r="G10" s="140"/>
      <c r="H10" s="140"/>
      <c r="I10" s="140"/>
      <c r="J10" s="140"/>
      <c r="K10" s="140"/>
      <c r="L10" s="140"/>
      <c r="M10" s="140"/>
      <c r="N10" s="3"/>
      <c r="O10" s="20" t="s">
        <v>42</v>
      </c>
      <c r="P10" s="3"/>
      <c r="Q10" s="3"/>
      <c r="R10" s="3"/>
      <c r="S10" s="3"/>
      <c r="T10" s="3"/>
      <c r="U10" s="3"/>
      <c r="Z10" s="3"/>
      <c r="AA10" s="3"/>
      <c r="AB10" s="3"/>
      <c r="AC10" s="3"/>
      <c r="AD10" s="3"/>
      <c r="AE10" s="3"/>
      <c r="AF10" s="3"/>
      <c r="AU10" s="20" t="s">
        <v>42</v>
      </c>
      <c r="AV10" s="17" t="s">
        <v>21</v>
      </c>
      <c r="AW10" s="17">
        <v>250</v>
      </c>
      <c r="AX10" s="17" t="s">
        <v>22</v>
      </c>
      <c r="AY10" s="17" t="s">
        <v>20</v>
      </c>
      <c r="AZ10" s="143" t="s">
        <v>23</v>
      </c>
      <c r="BB10" s="144" t="s">
        <v>43</v>
      </c>
      <c r="BC10" s="145">
        <v>24</v>
      </c>
    </row>
    <row r="11" spans="1:55" ht="29.25" customHeight="1">
      <c r="B11" s="140"/>
      <c r="C11" s="710" t="str">
        <f>$C$269</f>
        <v>NOM DU COCKTAIL N°8</v>
      </c>
      <c r="D11" s="710"/>
      <c r="E11" s="140" t="str">
        <f>$C$272</f>
        <v>N . Nom du cocktail n°8 . Avec ou sans alcool . Quand  . Verre Tumbler (old fashioned).Type de cocktail  couleur Couleur dominante à coller  intensité ****  précisez</v>
      </c>
      <c r="F11" s="140"/>
      <c r="G11" s="140"/>
      <c r="H11" s="140"/>
      <c r="I11" s="140"/>
      <c r="J11" s="140"/>
      <c r="K11" s="140"/>
      <c r="L11" s="140"/>
      <c r="M11" s="140"/>
      <c r="N11" s="3"/>
      <c r="O11" s="20" t="s">
        <v>45</v>
      </c>
      <c r="P11" s="3"/>
      <c r="Q11" s="3"/>
      <c r="R11" s="3"/>
      <c r="S11" s="3"/>
      <c r="T11" s="3"/>
      <c r="U11" s="3"/>
      <c r="V11" s="863" t="s">
        <v>7409</v>
      </c>
      <c r="W11" s="863"/>
      <c r="X11" s="863"/>
      <c r="Y11" s="863"/>
      <c r="Z11" s="863"/>
      <c r="AA11" s="863"/>
      <c r="AB11" s="863"/>
      <c r="AC11" s="863"/>
      <c r="AD11" s="863"/>
      <c r="AE11" s="863"/>
      <c r="AF11" s="863"/>
      <c r="AU11" s="20" t="s">
        <v>45</v>
      </c>
      <c r="AV11" s="17" t="s">
        <v>21</v>
      </c>
      <c r="AW11" s="17">
        <v>333.33333299999998</v>
      </c>
      <c r="AX11" s="17" t="s">
        <v>22</v>
      </c>
      <c r="AY11" s="17" t="s">
        <v>20</v>
      </c>
      <c r="AZ11" s="143" t="s">
        <v>23</v>
      </c>
      <c r="BB11" s="144" t="s">
        <v>46</v>
      </c>
      <c r="BC11" s="145">
        <v>24</v>
      </c>
    </row>
    <row r="12" spans="1:55" ht="24" customHeight="1">
      <c r="B12" s="140"/>
      <c r="C12" s="710" t="str">
        <f>$C$305</f>
        <v>NOM DU COCKTAIL N°9</v>
      </c>
      <c r="D12" s="710"/>
      <c r="E12" s="140" t="str">
        <f>$C$308</f>
        <v>N . Nom du cocktail n°9 . Avec ou sans alcool . Quand  . Verre Tumbler (old fashioned).Type de cocktail  couleur Couleur dominante à coller  intensité ****  précisez</v>
      </c>
      <c r="F12" s="140"/>
      <c r="G12" s="140"/>
      <c r="H12" s="140"/>
      <c r="I12" s="140"/>
      <c r="J12" s="140"/>
      <c r="K12" s="140"/>
      <c r="L12" s="140"/>
      <c r="M12" s="140"/>
      <c r="N12" s="3"/>
      <c r="O12" s="20" t="s">
        <v>48</v>
      </c>
      <c r="P12" s="3"/>
      <c r="Q12" s="3"/>
      <c r="R12" s="3"/>
      <c r="S12" s="3"/>
      <c r="T12" s="3"/>
      <c r="U12" s="3"/>
      <c r="V12" s="863"/>
      <c r="W12" s="863"/>
      <c r="X12" s="863"/>
      <c r="Y12" s="863"/>
      <c r="Z12" s="863"/>
      <c r="AA12" s="863"/>
      <c r="AB12" s="863"/>
      <c r="AC12" s="863"/>
      <c r="AD12" s="863"/>
      <c r="AE12" s="863"/>
      <c r="AF12" s="863"/>
      <c r="AU12" s="20" t="s">
        <v>48</v>
      </c>
      <c r="AV12" s="17" t="s">
        <v>21</v>
      </c>
      <c r="AW12" s="17">
        <v>666.66666699999996</v>
      </c>
      <c r="AX12" s="17" t="s">
        <v>22</v>
      </c>
      <c r="AY12" s="17" t="s">
        <v>20</v>
      </c>
      <c r="AZ12" s="143" t="s">
        <v>23</v>
      </c>
      <c r="BB12" s="144" t="s">
        <v>49</v>
      </c>
      <c r="BC12" s="145">
        <v>18</v>
      </c>
    </row>
    <row r="13" spans="1:55" ht="18.75">
      <c r="B13" s="140"/>
      <c r="C13" s="710" t="str">
        <f>$C$341</f>
        <v>NOM DU COCKTAIL N°10</v>
      </c>
      <c r="D13" s="710"/>
      <c r="E13" s="140" t="str">
        <f>$C$344</f>
        <v>N . Nom du cocktail n°10 . Avec ou sans alcool . Quand  . Verre Tumbler (old fashioned).Type de cocktail  couleur Couleur dominante à coller  intensité ****  précisez</v>
      </c>
      <c r="F13" s="140"/>
      <c r="G13" s="140"/>
      <c r="H13" s="140"/>
      <c r="I13" s="140"/>
      <c r="J13" s="140"/>
      <c r="K13" s="140"/>
      <c r="L13" s="140"/>
      <c r="M13" s="140"/>
      <c r="N13" s="3"/>
      <c r="O13" s="20" t="s">
        <v>50</v>
      </c>
      <c r="P13" s="3"/>
      <c r="Q13" s="3"/>
      <c r="R13" s="3"/>
      <c r="S13" s="3"/>
      <c r="T13" s="3"/>
      <c r="U13" s="3"/>
      <c r="Z13" s="3"/>
      <c r="AA13" s="3"/>
      <c r="AB13" s="3"/>
      <c r="AC13" s="3"/>
      <c r="AD13" s="3"/>
      <c r="AE13" s="3"/>
      <c r="AF13" s="3"/>
      <c r="AU13" s="20" t="s">
        <v>50</v>
      </c>
      <c r="AV13" s="17" t="s">
        <v>21</v>
      </c>
      <c r="AW13" s="17">
        <v>125</v>
      </c>
      <c r="AX13" s="17" t="s">
        <v>22</v>
      </c>
      <c r="AY13" s="17" t="s">
        <v>20</v>
      </c>
      <c r="AZ13" s="143" t="s">
        <v>23</v>
      </c>
      <c r="BB13" s="144" t="s">
        <v>51</v>
      </c>
      <c r="BC13" s="145">
        <v>12</v>
      </c>
    </row>
    <row r="14" spans="1:55" ht="15.75">
      <c r="B14" s="216" t="s">
        <v>7266</v>
      </c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3"/>
      <c r="O14" s="20" t="s">
        <v>52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U14" s="20" t="s">
        <v>52</v>
      </c>
      <c r="AV14" s="17" t="s">
        <v>21</v>
      </c>
      <c r="AW14" s="17">
        <v>125</v>
      </c>
      <c r="AX14" s="17" t="s">
        <v>22</v>
      </c>
      <c r="AY14" s="17" t="s">
        <v>20</v>
      </c>
      <c r="AZ14" s="143" t="s">
        <v>23</v>
      </c>
      <c r="BB14" s="144" t="s">
        <v>53</v>
      </c>
      <c r="BC14" s="145">
        <v>12</v>
      </c>
    </row>
    <row r="15" spans="1:55" ht="27.95" customHeight="1">
      <c r="B15" s="147"/>
      <c r="C15" s="147" t="str">
        <f>"colonne "&amp;SUBSTITUTE(ADDRESS(1,COLUMN(),4),"1","")&amp;"  ▼ "</f>
        <v xml:space="preserve">colonne C  ▼ </v>
      </c>
      <c r="D15" s="147"/>
      <c r="E15" s="147"/>
      <c r="F15" s="147" t="str">
        <f>"colonne "&amp;SUBSTITUTE(ADDRESS(1,COLUMN(),4),"1","")&amp;"  ▼ "</f>
        <v xml:space="preserve">colonne F  ▼ </v>
      </c>
      <c r="G15" s="147"/>
      <c r="H15" s="147"/>
      <c r="I15" s="147" t="str">
        <f>"colonne "&amp;SUBSTITUTE(ADDRESS(1,COLUMN(),4),"1","")&amp;"  ▼ "</f>
        <v xml:space="preserve">colonne I  ▼ </v>
      </c>
      <c r="J15" s="147" t="str">
        <f>"colonne "&amp;SUBSTITUTE(ADDRESS(1,COLUMN(),4),"1","")&amp;"  ▼ "</f>
        <v xml:space="preserve">colonne J  ▼ </v>
      </c>
      <c r="K15" s="147"/>
      <c r="L15" s="147" t="str">
        <f>"colonne "&amp;SUBSTITUTE(ADDRESS(1,COLUMN(),4),"1","")&amp;"  ▼ "</f>
        <v xml:space="preserve">colonne L  ▼ </v>
      </c>
      <c r="M15" s="147"/>
      <c r="N15" s="3"/>
      <c r="O15" s="21" t="s">
        <v>54</v>
      </c>
      <c r="P15" s="3"/>
      <c r="AU15" s="21" t="s">
        <v>54</v>
      </c>
      <c r="AV15" s="17" t="s">
        <v>55</v>
      </c>
      <c r="AW15" s="17">
        <v>1000</v>
      </c>
      <c r="AX15" s="17" t="s">
        <v>56</v>
      </c>
      <c r="AY15" s="17" t="s">
        <v>54</v>
      </c>
      <c r="AZ15" s="148" t="s">
        <v>57</v>
      </c>
      <c r="BB15" s="144" t="s">
        <v>58</v>
      </c>
      <c r="BC15" s="145">
        <v>20</v>
      </c>
    </row>
    <row r="16" spans="1:55" ht="24.95" customHeight="1">
      <c r="A16" s="149" t="s">
        <v>59</v>
      </c>
      <c r="B16" s="755" t="s">
        <v>60</v>
      </c>
      <c r="C16" s="755"/>
      <c r="D16" s="755"/>
      <c r="E16" s="755"/>
      <c r="F16" s="755"/>
      <c r="G16" s="755"/>
      <c r="H16" s="755"/>
      <c r="I16" s="755"/>
      <c r="J16" s="755"/>
      <c r="K16" s="755"/>
      <c r="L16" s="755"/>
      <c r="M16" s="755"/>
      <c r="N16" s="3"/>
      <c r="O16" s="22" t="s">
        <v>56</v>
      </c>
      <c r="P16" s="3"/>
      <c r="Q16" s="10" t="s">
        <v>61</v>
      </c>
      <c r="R16" s="10"/>
      <c r="S16" s="10"/>
      <c r="T16" s="10"/>
      <c r="V16" s="861" t="s">
        <v>62</v>
      </c>
      <c r="W16" s="861"/>
      <c r="X16" s="861"/>
      <c r="Y16" s="23" t="s">
        <v>63</v>
      </c>
      <c r="Z16" s="24"/>
      <c r="AA16" s="24"/>
      <c r="AB16" s="24"/>
      <c r="AC16" s="24"/>
      <c r="AD16" s="24"/>
      <c r="AE16" s="24"/>
      <c r="AF16" s="24"/>
      <c r="AH16" s="25" t="s">
        <v>64</v>
      </c>
      <c r="AI16" s="25"/>
      <c r="AJ16" s="25" t="s">
        <v>65</v>
      </c>
      <c r="AK16" s="25"/>
      <c r="AL16" s="25"/>
      <c r="AM16" s="26"/>
      <c r="AN16" s="26"/>
      <c r="AO16" s="26"/>
      <c r="AP16" s="26"/>
      <c r="AQ16" s="26"/>
      <c r="AR16" s="26"/>
      <c r="AS16" s="26"/>
      <c r="AU16" s="22" t="s">
        <v>56</v>
      </c>
      <c r="AV16" s="17" t="s">
        <v>55</v>
      </c>
      <c r="AW16" s="17">
        <v>1</v>
      </c>
      <c r="AX16" s="17" t="s">
        <v>56</v>
      </c>
      <c r="AY16" s="17" t="s">
        <v>56</v>
      </c>
      <c r="AZ16" s="148" t="s">
        <v>57</v>
      </c>
      <c r="BB16" s="144" t="s">
        <v>66</v>
      </c>
      <c r="BC16" s="145">
        <v>40</v>
      </c>
    </row>
    <row r="17" spans="1:55" ht="24.95" customHeight="1">
      <c r="A17" s="757"/>
      <c r="B17" s="27" t="s">
        <v>67</v>
      </c>
      <c r="C17" s="28" t="s">
        <v>68</v>
      </c>
      <c r="D17" s="28"/>
      <c r="E17" s="27" t="s">
        <v>69</v>
      </c>
      <c r="F17" s="355" t="s">
        <v>558</v>
      </c>
      <c r="G17" s="30"/>
      <c r="H17" s="27" t="s">
        <v>71</v>
      </c>
      <c r="I17" s="31" t="s">
        <v>72</v>
      </c>
      <c r="J17" s="30"/>
      <c r="K17" s="27" t="s">
        <v>73</v>
      </c>
      <c r="L17" s="32" t="s">
        <v>74</v>
      </c>
      <c r="M17" s="33"/>
      <c r="N17" s="3"/>
      <c r="O17" s="34" t="s">
        <v>75</v>
      </c>
      <c r="P17" s="3"/>
      <c r="Q17" s="14" t="s">
        <v>27</v>
      </c>
      <c r="R17" s="35">
        <v>10</v>
      </c>
      <c r="S17" s="15" t="s">
        <v>76</v>
      </c>
      <c r="T17" s="15"/>
      <c r="V17" s="831" t="s">
        <v>77</v>
      </c>
      <c r="W17" s="862" t="str">
        <f>C17</f>
        <v>AMERICANO</v>
      </c>
      <c r="X17" s="862"/>
      <c r="Y17" s="862"/>
      <c r="Z17" s="36" t="s">
        <v>78</v>
      </c>
      <c r="AA17" s="24" t="str">
        <f>F17</f>
        <v>Avec ou sans Alcool</v>
      </c>
      <c r="AB17" s="24"/>
      <c r="AC17" s="831" t="s">
        <v>71</v>
      </c>
      <c r="AD17" s="37" t="str">
        <f>I17</f>
        <v>BEFORE DINNER</v>
      </c>
      <c r="AE17" s="831" t="s">
        <v>73</v>
      </c>
      <c r="AF17" s="24" t="str">
        <f>L17</f>
        <v>ON THE ROCKS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U17" s="34" t="s">
        <v>75</v>
      </c>
      <c r="AV17" s="17" t="s">
        <v>55</v>
      </c>
      <c r="AW17" s="17">
        <v>250</v>
      </c>
      <c r="AX17" s="17" t="s">
        <v>56</v>
      </c>
      <c r="AY17" s="17" t="s">
        <v>54</v>
      </c>
      <c r="AZ17" s="148" t="s">
        <v>57</v>
      </c>
      <c r="BB17" s="144" t="s">
        <v>79</v>
      </c>
      <c r="BC17" s="145">
        <v>40</v>
      </c>
    </row>
    <row r="18" spans="1:55" ht="24.95" customHeight="1">
      <c r="A18" s="757"/>
      <c r="B18" s="27" t="s">
        <v>80</v>
      </c>
      <c r="C18" s="38" t="s">
        <v>81</v>
      </c>
      <c r="D18" s="30"/>
      <c r="E18" s="27" t="s">
        <v>82</v>
      </c>
      <c r="F18" s="39" t="s">
        <v>83</v>
      </c>
      <c r="G18" s="30"/>
      <c r="H18" s="27" t="s">
        <v>84</v>
      </c>
      <c r="I18" s="40">
        <v>1</v>
      </c>
      <c r="J18" s="41" t="s">
        <v>83</v>
      </c>
      <c r="K18" s="41"/>
      <c r="L18" s="42" t="s">
        <v>76</v>
      </c>
      <c r="M18" s="33"/>
      <c r="N18" s="3"/>
      <c r="O18" s="34" t="s">
        <v>85</v>
      </c>
      <c r="Q18" s="14" t="s">
        <v>31</v>
      </c>
      <c r="R18" s="35"/>
      <c r="S18" s="15" t="s">
        <v>86</v>
      </c>
      <c r="T18" s="15"/>
      <c r="V18" s="44" t="s">
        <v>87</v>
      </c>
      <c r="W18" s="150">
        <f>R22</f>
        <v>13.333333333333334</v>
      </c>
      <c r="X18" s="43" t="s">
        <v>88</v>
      </c>
      <c r="Y18" s="43"/>
      <c r="Z18" s="44" t="s">
        <v>89</v>
      </c>
      <c r="AA18" s="45">
        <f>R24</f>
        <v>1.625</v>
      </c>
      <c r="AB18" s="46" t="s">
        <v>90</v>
      </c>
      <c r="AC18" s="44" t="s">
        <v>91</v>
      </c>
      <c r="AD18" s="45">
        <f>R19</f>
        <v>10</v>
      </c>
      <c r="AE18" s="47" t="s">
        <v>92</v>
      </c>
      <c r="AF18" s="43" t="str">
        <f>R26</f>
        <v>NOMBRE DE COCKTAILS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U18" s="34" t="s">
        <v>85</v>
      </c>
      <c r="AV18" s="17" t="s">
        <v>55</v>
      </c>
      <c r="AW18" s="17">
        <v>333.33333299999998</v>
      </c>
      <c r="AX18" s="17" t="s">
        <v>56</v>
      </c>
      <c r="AY18" s="17" t="s">
        <v>54</v>
      </c>
      <c r="AZ18" s="148" t="s">
        <v>57</v>
      </c>
      <c r="BB18" s="144" t="s">
        <v>93</v>
      </c>
      <c r="BC18" s="145">
        <v>36</v>
      </c>
    </row>
    <row r="19" spans="1:55" ht="24.95" customHeight="1">
      <c r="A19" s="757"/>
      <c r="B19" s="27" t="s">
        <v>94</v>
      </c>
      <c r="C19" s="151" t="s">
        <v>95</v>
      </c>
      <c r="D19" s="30"/>
      <c r="E19" s="30"/>
      <c r="F19" s="30"/>
      <c r="G19" s="30"/>
      <c r="H19" s="27" t="s">
        <v>96</v>
      </c>
      <c r="I19" s="48">
        <v>15</v>
      </c>
      <c r="J19" s="152" t="s">
        <v>32</v>
      </c>
      <c r="K19" s="30"/>
      <c r="L19" s="30"/>
      <c r="M19" s="33"/>
      <c r="N19" s="3"/>
      <c r="O19" s="34" t="s">
        <v>97</v>
      </c>
      <c r="Q19" s="14" t="s">
        <v>98</v>
      </c>
      <c r="R19" s="49">
        <f>IF(AND(ISNUMBER(R18),R18&gt;0),IFERROR(R18*1000/R20,0),IF(AND(ISNUMBER(R17),R17&gt;0,ISNUMBER(I18),I18&gt;0),R17/I18,1))</f>
        <v>10</v>
      </c>
      <c r="S19" s="50" t="s">
        <v>99</v>
      </c>
      <c r="T19" s="50"/>
      <c r="V19" s="44" t="s">
        <v>100</v>
      </c>
      <c r="W19" s="51">
        <f>IF(R20="","",R20/10)</f>
        <v>15</v>
      </c>
      <c r="X19" s="46" t="s">
        <v>32</v>
      </c>
      <c r="Y19" s="43"/>
      <c r="Z19" s="44" t="s">
        <v>101</v>
      </c>
      <c r="AA19" s="45">
        <f>R21</f>
        <v>15</v>
      </c>
      <c r="AB19" s="46" t="s">
        <v>32</v>
      </c>
      <c r="AC19" s="44" t="s">
        <v>102</v>
      </c>
      <c r="AD19" s="45">
        <f>R25</f>
        <v>10</v>
      </c>
      <c r="AE19" s="51"/>
      <c r="AF19" s="4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U19" s="34" t="s">
        <v>97</v>
      </c>
      <c r="AV19" s="17" t="s">
        <v>55</v>
      </c>
      <c r="AW19" s="17">
        <v>500</v>
      </c>
      <c r="AX19" s="17" t="s">
        <v>56</v>
      </c>
      <c r="AY19" s="17" t="s">
        <v>54</v>
      </c>
      <c r="AZ19" s="148" t="s">
        <v>57</v>
      </c>
      <c r="BB19" s="144" t="s">
        <v>103</v>
      </c>
      <c r="BC19" s="145">
        <v>24</v>
      </c>
    </row>
    <row r="20" spans="1:55" ht="24.95" customHeight="1">
      <c r="A20" s="757"/>
      <c r="B20" s="27"/>
      <c r="C20" s="52" t="str">
        <f>UPPER(LEFT(C17,1)) &amp; " . " &amp; UPPER(LEFT(C17,1)) &amp; LOWER(MID(C17,2,999)) &amp; " . " &amp; UPPER(LEFT(F17,1)) &amp; LOWER(MID(F17,2,999)) &amp; " . " &amp; UPPER(LEFT(I17,1)) &amp; LOWER(MID(I17,2,999)) &amp; " . " &amp; "Verre " &amp; UPPER(LEFT(F18,1)) &amp; LOWER(MID(F18,2,999)) &amp; IF(LEFT(L17,1)=UPPER(LEFT(L17,1)),".","") &amp; UPPER(LEFT(L17,1)) &amp; LOWER(MID(L17,2,999))&amp;"  couleur"&amp;" "&amp;C18&amp;"  intensité"&amp;" "&amp;C19</f>
        <v>A . Americano . Avec ou sans alcool . Before dinner . Verre Tumbler (old fashioned).On the rocks  couleur rouge doux  intensité *** amer</v>
      </c>
      <c r="D20" s="52"/>
      <c r="E20" s="52"/>
      <c r="F20" s="52"/>
      <c r="G20" s="52"/>
      <c r="H20" s="52"/>
      <c r="I20" s="52"/>
      <c r="J20" s="52"/>
      <c r="K20" s="52"/>
      <c r="L20" s="30"/>
      <c r="M20" s="33"/>
      <c r="N20" s="3"/>
      <c r="O20" s="53" t="s">
        <v>104</v>
      </c>
      <c r="Q20" s="14" t="s">
        <v>105</v>
      </c>
      <c r="R20" s="49">
        <f>SUMIF(AJ27:AJ33,"VOLUME",AL27:AL33)</f>
        <v>150</v>
      </c>
      <c r="S20" s="50" t="s">
        <v>22</v>
      </c>
      <c r="T20" s="50"/>
      <c r="V20" s="44" t="s">
        <v>96</v>
      </c>
      <c r="W20" s="51">
        <f>I19</f>
        <v>15</v>
      </c>
      <c r="X20" s="46" t="str">
        <f>J19</f>
        <v>cl</v>
      </c>
      <c r="Y20" s="43"/>
      <c r="Z20" s="44" t="s">
        <v>82</v>
      </c>
      <c r="AA20" s="54" t="str">
        <f>F18</f>
        <v>Tumbler (Old Fashioned)</v>
      </c>
      <c r="AB20" s="43"/>
      <c r="AC20" s="44" t="s">
        <v>106</v>
      </c>
      <c r="AD20" s="45">
        <f>R27</f>
        <v>25</v>
      </c>
      <c r="AE20" s="46" t="s">
        <v>32</v>
      </c>
      <c r="AF20" s="4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U20" s="53" t="s">
        <v>104</v>
      </c>
      <c r="AV20" s="17" t="s">
        <v>21</v>
      </c>
      <c r="AW20" s="17">
        <v>5</v>
      </c>
      <c r="AX20" s="17" t="s">
        <v>22</v>
      </c>
      <c r="AY20" s="17" t="s">
        <v>107</v>
      </c>
      <c r="AZ20" s="153" t="s">
        <v>108</v>
      </c>
      <c r="BB20" s="144" t="s">
        <v>109</v>
      </c>
      <c r="BC20" s="145">
        <v>24</v>
      </c>
    </row>
    <row r="21" spans="1:55" ht="24.95" customHeight="1">
      <c r="A21" s="757"/>
      <c r="B21" s="27" t="s">
        <v>110</v>
      </c>
      <c r="C21" s="55" t="s">
        <v>111</v>
      </c>
      <c r="D21" s="55"/>
      <c r="E21" s="154"/>
      <c r="F21" s="154"/>
      <c r="G21" s="154"/>
      <c r="H21" s="154"/>
      <c r="I21" s="154"/>
      <c r="J21" s="154"/>
      <c r="K21" s="154"/>
      <c r="L21" s="30"/>
      <c r="M21" s="33"/>
      <c r="N21" s="3"/>
      <c r="O21" s="53" t="s">
        <v>112</v>
      </c>
      <c r="Q21" s="14" t="s">
        <v>113</v>
      </c>
      <c r="R21" s="49">
        <f>IF(OR(R20=0,NOT(ISNUMBER(I18)),I18&lt;=0),"",R20/I18/10)</f>
        <v>15</v>
      </c>
      <c r="S21" s="50" t="s">
        <v>32</v>
      </c>
      <c r="T21" s="50"/>
      <c r="V21" s="44" t="s">
        <v>114</v>
      </c>
      <c r="W21" s="51" t="str">
        <f>IF(I19="","",IF(R27="","⚠ À CONTRÔLER",IF(I19&lt;=R27,"✔ OK","❌ DÉPASSE CAPACITÉ")))</f>
        <v>✔ OK</v>
      </c>
      <c r="X21" s="43"/>
      <c r="Y21" s="43"/>
      <c r="Z21" s="44"/>
      <c r="AA21" s="56"/>
      <c r="AB21" s="43"/>
      <c r="AC21" s="43"/>
      <c r="AD21" s="46"/>
      <c r="AE21" s="46"/>
      <c r="AF21" s="4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U21" s="53" t="s">
        <v>112</v>
      </c>
      <c r="AV21" s="17" t="s">
        <v>21</v>
      </c>
      <c r="AW21" s="17">
        <v>5</v>
      </c>
      <c r="AX21" s="17" t="s">
        <v>22</v>
      </c>
      <c r="AY21" s="17" t="s">
        <v>115</v>
      </c>
      <c r="AZ21" s="153" t="s">
        <v>108</v>
      </c>
      <c r="BB21" s="144" t="s">
        <v>116</v>
      </c>
      <c r="BC21" s="145">
        <v>50</v>
      </c>
    </row>
    <row r="22" spans="1:55" ht="24.95" customHeight="1">
      <c r="A22" s="757"/>
      <c r="B22" s="30"/>
      <c r="C22" s="30"/>
      <c r="D22" s="30"/>
      <c r="E22" s="30"/>
      <c r="F22" s="30"/>
      <c r="G22" s="30"/>
      <c r="H22" s="206"/>
      <c r="I22" s="30"/>
      <c r="J22" s="30"/>
      <c r="K22" s="30"/>
      <c r="L22" s="30"/>
      <c r="M22" s="33"/>
      <c r="N22" s="3"/>
      <c r="O22" s="53" t="s">
        <v>117</v>
      </c>
      <c r="Q22" s="14" t="s">
        <v>118</v>
      </c>
      <c r="R22" s="155">
        <f>IF(AN34=0,"",SUM(AQ27:AQ33)/AN34*100)</f>
        <v>13.333333333333334</v>
      </c>
      <c r="S22" s="50" t="s">
        <v>88</v>
      </c>
      <c r="T22" s="50"/>
      <c r="V22" s="44" t="s">
        <v>110</v>
      </c>
      <c r="W22" s="46" t="str">
        <f>C21</f>
        <v>Apéritif classique à base de vermouth et de Bitter</v>
      </c>
      <c r="X22" s="43"/>
      <c r="Y22" s="43"/>
      <c r="Z22" s="44"/>
      <c r="AA22" s="56"/>
      <c r="AB22" s="43"/>
      <c r="AC22" s="43"/>
      <c r="AD22" s="46"/>
      <c r="AE22" s="46"/>
      <c r="AF22" s="4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U22" s="53" t="s">
        <v>117</v>
      </c>
      <c r="AV22" s="17" t="s">
        <v>21</v>
      </c>
      <c r="AW22" s="17">
        <v>15</v>
      </c>
      <c r="AX22" s="17" t="s">
        <v>22</v>
      </c>
      <c r="AY22" s="17" t="s">
        <v>119</v>
      </c>
      <c r="AZ22" s="153" t="s">
        <v>108</v>
      </c>
      <c r="BB22" s="144" t="s">
        <v>120</v>
      </c>
      <c r="BC22" s="145">
        <v>50</v>
      </c>
    </row>
    <row r="23" spans="1:55" ht="24.95" customHeight="1">
      <c r="A23" s="757"/>
      <c r="B23" s="57" t="s">
        <v>121</v>
      </c>
      <c r="C23" s="58" t="s">
        <v>122</v>
      </c>
      <c r="D23" s="58"/>
      <c r="E23" s="59"/>
      <c r="F23" s="57" t="s">
        <v>123</v>
      </c>
      <c r="G23" s="58" t="s">
        <v>124</v>
      </c>
      <c r="H23" s="60"/>
      <c r="I23" s="60"/>
      <c r="J23" s="61"/>
      <c r="K23" s="61"/>
      <c r="L23" s="61"/>
      <c r="M23" s="62"/>
      <c r="N23" s="3"/>
      <c r="O23" s="53" t="s">
        <v>125</v>
      </c>
      <c r="Q23" s="14" t="s">
        <v>126</v>
      </c>
      <c r="R23" s="156">
        <f>SUM(AR27:AR33)</f>
        <v>16.25</v>
      </c>
      <c r="S23" s="50" t="s">
        <v>90</v>
      </c>
      <c r="T23" s="50"/>
      <c r="V23" s="44" t="s">
        <v>121</v>
      </c>
      <c r="W23" s="46" t="str">
        <f>C23</f>
        <v>Destination Cocktails</v>
      </c>
      <c r="X23" s="43"/>
      <c r="Y23" s="43"/>
      <c r="Z23" s="44" t="s">
        <v>94</v>
      </c>
      <c r="AA23" s="54" t="str">
        <f>C19</f>
        <v>*** amer</v>
      </c>
      <c r="AB23" s="43"/>
      <c r="AC23" s="759" t="str">
        <f>UPPER(LEFT(C17,1))&amp;" . "&amp;UPPER(LEFT(C17,1))&amp;LOWER(MID(C17,2,999))&amp;" . "&amp;UPPER(LEFT(F17,1))&amp;LOWER(MID(F17,2,999))&amp;" . "&amp;UPPER(LEFT(I17,1))&amp;LOWER(MID(I17,2,999))&amp;" . "&amp;"Verre "&amp;UPPER(LEFT(F18,1))&amp;LOWER(MID(F18,2,999))&amp;IF(LEFT(L17,1)=UPPER(LEFT(L17,1)),".","")&amp;UPPER(LEFT(L17,1))&amp;LOWER(MID(L17,2,999))&amp;"  couleur "&amp;C18&amp;"  intensité "&amp;C19</f>
        <v>A . Americano . Avec ou sans alcool . Before dinner . Verre Tumbler (old fashioned).On the rocks  couleur rouge doux  intensité *** amer</v>
      </c>
      <c r="AD23" s="759"/>
      <c r="AE23" s="759"/>
      <c r="AF23" s="759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U23" s="53" t="s">
        <v>488</v>
      </c>
      <c r="AV23" s="17" t="s">
        <v>127</v>
      </c>
      <c r="AW23" s="17">
        <v>1</v>
      </c>
      <c r="AX23" s="17" t="s">
        <v>128</v>
      </c>
      <c r="AY23" s="17" t="s">
        <v>489</v>
      </c>
      <c r="AZ23" s="153" t="s">
        <v>139</v>
      </c>
      <c r="BB23" s="144" t="s">
        <v>130</v>
      </c>
      <c r="BC23" s="145">
        <v>21.5</v>
      </c>
    </row>
    <row r="24" spans="1:55" ht="24.95" customHeight="1">
      <c r="A24" s="757"/>
      <c r="B24" s="10" t="s">
        <v>131</v>
      </c>
      <c r="C24" s="10" t="s">
        <v>132</v>
      </c>
      <c r="D24" s="10"/>
      <c r="E24" s="10"/>
      <c r="F24" s="10"/>
      <c r="G24" s="10"/>
      <c r="H24" s="10"/>
      <c r="I24" s="10"/>
      <c r="J24" s="11" t="str">
        <f>IF(COUNTIF(C26:C32,"*~**")+COUNTIF(C26:C32,"*~?*")=0,"",IF(COUNTIF(C26:C32,"*~**")&gt;0,COUNTIF(C26:C32,"*~**")&amp;" allergène"&amp;IF(COUNTIF(C26:C32,"*~**")&gt;1,"s","")&amp;" repéré"&amp;IF(COUNTIF(C26:C32,"*~**")&gt;1,"s","")&amp;" par *","")&amp;IF(AND(COUNTIF(C26:C32,"*~**")&gt;0,COUNTIF(C26:C32,"*~?*")&gt;0)," | ","")&amp;IF(COUNTIF(C26:C32,"*~?*")&gt;0,COUNTIF(C26:C32,"*~?*")&amp;" produit"&amp;IF(COUNTIF(C26:C32,"*~?*")&gt;1,"s","")&amp;" à vérifier par ?",""))</f>
        <v>1 allergène repéré par *</v>
      </c>
      <c r="K24" s="10"/>
      <c r="L24" s="10"/>
      <c r="M24" s="63"/>
      <c r="N24" s="3"/>
      <c r="O24" s="53" t="s">
        <v>133</v>
      </c>
      <c r="Q24" s="14" t="s">
        <v>134</v>
      </c>
      <c r="R24" s="156">
        <f>IF(OR(R23="",R25="",R25=0),"",R23/R25)</f>
        <v>1.625</v>
      </c>
      <c r="S24" s="50" t="s">
        <v>135</v>
      </c>
      <c r="T24" s="50"/>
      <c r="V24" s="852" t="s">
        <v>136</v>
      </c>
      <c r="W24" s="853">
        <f>R23</f>
        <v>16.25</v>
      </c>
      <c r="X24" s="854" t="s">
        <v>90</v>
      </c>
      <c r="Y24" s="43"/>
      <c r="Z24" s="44" t="s">
        <v>137</v>
      </c>
      <c r="AA24" s="54" t="str">
        <f>C17</f>
        <v>AMERICANO</v>
      </c>
      <c r="AB24" s="43"/>
      <c r="AC24" s="759"/>
      <c r="AD24" s="759"/>
      <c r="AE24" s="759"/>
      <c r="AF24" s="759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U24" s="53" t="s">
        <v>133</v>
      </c>
      <c r="AV24" s="17" t="s">
        <v>127</v>
      </c>
      <c r="AW24" s="17">
        <v>1</v>
      </c>
      <c r="AX24" s="17" t="s">
        <v>128</v>
      </c>
      <c r="AY24" s="17" t="s">
        <v>138</v>
      </c>
      <c r="AZ24" s="157" t="s">
        <v>139</v>
      </c>
      <c r="BB24" s="144" t="s">
        <v>140</v>
      </c>
      <c r="BC24" s="145">
        <v>20</v>
      </c>
    </row>
    <row r="25" spans="1:55" ht="24.95" customHeight="1">
      <c r="A25" s="757"/>
      <c r="B25" s="66">
        <v>0</v>
      </c>
      <c r="C25" s="64" t="s">
        <v>141</v>
      </c>
      <c r="D25" s="65" t="s">
        <v>142</v>
      </c>
      <c r="E25" s="64" t="s">
        <v>9</v>
      </c>
      <c r="F25" s="66" t="s">
        <v>143</v>
      </c>
      <c r="G25" s="66" t="s">
        <v>144</v>
      </c>
      <c r="H25" s="66" t="s">
        <v>145</v>
      </c>
      <c r="I25" s="67" t="s">
        <v>146</v>
      </c>
      <c r="J25" s="67" t="s">
        <v>847</v>
      </c>
      <c r="K25" s="67" t="s">
        <v>148</v>
      </c>
      <c r="L25" s="67" t="s">
        <v>149</v>
      </c>
      <c r="M25" s="68" t="s">
        <v>150</v>
      </c>
      <c r="N25" s="3"/>
      <c r="O25" s="53" t="s">
        <v>151</v>
      </c>
      <c r="Q25" s="14" t="s">
        <v>152</v>
      </c>
      <c r="R25" s="49">
        <f>IF(AND(ISNUMBER(R18),R18&gt;0,ISNUMBER(I19),I19&gt;0),R18*1000/(I19*10),IF(AND(ISNUMBER(R17),R17&gt;0),R17,""))</f>
        <v>10</v>
      </c>
      <c r="S25" s="50" t="s">
        <v>76</v>
      </c>
      <c r="T25" s="50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H25" s="25" t="s">
        <v>153</v>
      </c>
      <c r="AI25" s="25"/>
      <c r="AJ25" s="25" t="s">
        <v>490</v>
      </c>
      <c r="AK25" s="25"/>
      <c r="AL25" s="25"/>
      <c r="AM25" s="25"/>
      <c r="AN25" s="26"/>
      <c r="AO25" s="26"/>
      <c r="AP25" s="26"/>
      <c r="AQ25" s="26"/>
      <c r="AR25" s="26"/>
      <c r="AS25" s="26"/>
      <c r="AU25" s="53" t="s">
        <v>151</v>
      </c>
      <c r="AV25" s="17" t="s">
        <v>127</v>
      </c>
      <c r="AW25" s="17">
        <v>1</v>
      </c>
      <c r="AX25" s="17" t="s">
        <v>128</v>
      </c>
      <c r="AY25" s="17" t="s">
        <v>138</v>
      </c>
      <c r="AZ25" s="157" t="s">
        <v>139</v>
      </c>
      <c r="BB25" s="144" t="s">
        <v>154</v>
      </c>
      <c r="BC25" s="145">
        <v>18</v>
      </c>
    </row>
    <row r="26" spans="1:55" ht="24.95" customHeight="1">
      <c r="A26" s="757"/>
      <c r="B26" s="158">
        <v>1</v>
      </c>
      <c r="C26" s="70" t="s">
        <v>155</v>
      </c>
      <c r="D26" s="71">
        <v>5</v>
      </c>
      <c r="E26" s="18" t="s">
        <v>32</v>
      </c>
      <c r="F26" s="72">
        <v>25</v>
      </c>
      <c r="G26" s="159">
        <v>1.05</v>
      </c>
      <c r="H26" s="160" t="s">
        <v>156</v>
      </c>
      <c r="I26" s="161">
        <v>18</v>
      </c>
      <c r="J26" s="73" t="s">
        <v>849</v>
      </c>
      <c r="K26" s="73"/>
      <c r="L26" s="73"/>
      <c r="M26" s="74"/>
      <c r="N26" s="3"/>
      <c r="O26" s="53" t="s">
        <v>157</v>
      </c>
      <c r="Q26" s="14" t="s">
        <v>158</v>
      </c>
      <c r="R26" s="75" t="str">
        <f>IF(AND(ISNUMBER(R18),R18&gt;0),"VOLUME TOTAL",IF(AND(ISNUMBER(R17),R17&gt;0),"NOMBRE DE COCKTAILS","RÉFÉRENCE"))</f>
        <v>NOMBRE DE COCKTAILS</v>
      </c>
      <c r="S26" s="50"/>
      <c r="T26" s="50"/>
      <c r="V26" s="831" t="s">
        <v>159</v>
      </c>
      <c r="W26" s="36" t="s">
        <v>160</v>
      </c>
      <c r="X26" s="76" t="s">
        <v>161</v>
      </c>
      <c r="Y26" s="835" t="s">
        <v>162</v>
      </c>
      <c r="Z26" s="838" t="s">
        <v>163</v>
      </c>
      <c r="AA26" s="36" t="s">
        <v>164</v>
      </c>
      <c r="AB26" s="36" t="s">
        <v>9</v>
      </c>
      <c r="AC26" s="841" t="s">
        <v>165</v>
      </c>
      <c r="AD26" s="296" t="s">
        <v>166</v>
      </c>
      <c r="AE26" s="36" t="s">
        <v>146</v>
      </c>
      <c r="AF26" s="833" t="s">
        <v>167</v>
      </c>
      <c r="AH26" s="77" t="s">
        <v>168</v>
      </c>
      <c r="AI26" s="78" t="s">
        <v>159</v>
      </c>
      <c r="AJ26" s="77" t="s">
        <v>10</v>
      </c>
      <c r="AK26" s="77" t="s">
        <v>169</v>
      </c>
      <c r="AL26" s="77" t="s">
        <v>170</v>
      </c>
      <c r="AM26" s="77" t="s">
        <v>91</v>
      </c>
      <c r="AN26" s="78" t="s">
        <v>161</v>
      </c>
      <c r="AO26" s="77" t="s">
        <v>171</v>
      </c>
      <c r="AP26" s="77" t="s">
        <v>172</v>
      </c>
      <c r="AQ26" s="77" t="s">
        <v>165</v>
      </c>
      <c r="AR26" s="77" t="s">
        <v>167</v>
      </c>
      <c r="AS26" s="77" t="s">
        <v>173</v>
      </c>
      <c r="AU26" s="53" t="s">
        <v>157</v>
      </c>
      <c r="AV26" s="17" t="s">
        <v>127</v>
      </c>
      <c r="AW26" s="17">
        <v>1</v>
      </c>
      <c r="AX26" s="17" t="s">
        <v>128</v>
      </c>
      <c r="AY26" s="17" t="s">
        <v>174</v>
      </c>
      <c r="AZ26" s="157" t="s">
        <v>139</v>
      </c>
      <c r="BB26" s="144" t="s">
        <v>175</v>
      </c>
      <c r="BC26" s="145">
        <v>35</v>
      </c>
    </row>
    <row r="27" spans="1:55" ht="24.95" customHeight="1">
      <c r="A27" s="757"/>
      <c r="B27" s="162">
        <v>2</v>
      </c>
      <c r="C27" s="70" t="s">
        <v>176</v>
      </c>
      <c r="D27" s="79">
        <v>5</v>
      </c>
      <c r="E27" s="18" t="s">
        <v>32</v>
      </c>
      <c r="F27" s="72">
        <v>15</v>
      </c>
      <c r="G27" s="159">
        <v>1.02</v>
      </c>
      <c r="H27" s="160" t="s">
        <v>156</v>
      </c>
      <c r="I27" s="161">
        <v>9</v>
      </c>
      <c r="J27" s="73"/>
      <c r="K27" s="73"/>
      <c r="L27" s="73"/>
      <c r="M27" s="74"/>
      <c r="N27" s="3"/>
      <c r="O27" s="53" t="s">
        <v>177</v>
      </c>
      <c r="Q27" s="14" t="s">
        <v>35</v>
      </c>
      <c r="R27" s="35">
        <f>IFERROR(VLOOKUP(F18,$BB$5:$BC$40,2,FALSE),"")</f>
        <v>25</v>
      </c>
      <c r="S27" s="50" t="s">
        <v>32</v>
      </c>
      <c r="T27" s="50"/>
      <c r="V27" s="846" t="str">
        <f t="shared" ref="V27:V33" si="0">IF(AI27="","",AI27)</f>
        <v>Bitter Campari</v>
      </c>
      <c r="W27" s="848" t="str">
        <f t="shared" ref="W27:W33" si="1">IF(C26="","",IF(H26="QS","QS",D26&amp;" "&amp;E26))</f>
        <v>5 cl</v>
      </c>
      <c r="X27" s="81">
        <f t="shared" ref="X27:X33" si="2">IF(AN27="","",AN27)</f>
        <v>500</v>
      </c>
      <c r="Y27" s="836" t="str">
        <f t="shared" ref="Y27:Y33" si="3">IF(C26="","",IF(H26="QS","Qt. suffisante",IF(AN27="","",IF(AJ27="VOLUME",IF(AN27&gt;=1000,TEXT(AO27,"0.00")&amp;" "&amp;AP27,IF(AN27&gt;=10,TEXT(AO27,"0.0")&amp;" "&amp;AP27&amp;" ► "&amp;TEXT(AN27/1000,"0.000")&amp;" L",TEXT(AO27,"0.0")&amp;" "&amp;AP27)),IF(AJ27="MASSE",TEXT(AO27,"0.00")&amp;" "&amp;AP27,AO27&amp;" "&amp;AP27)))))</f>
        <v>50.0 cl ► 0.500 L</v>
      </c>
      <c r="Z27" s="839" t="str">
        <f>IF(OR(C26="",AJ27&lt;&gt;"VOLUME",AN34=0),"","≈ "&amp;TEXT(ROUND(AN27/AN34*10*2,0)/2,"0.0")&amp;"/10")</f>
        <v>≈ 3.5/10</v>
      </c>
      <c r="AA27" s="82" t="str">
        <f t="shared" ref="AA27:AA33" si="4">IF(AJ27="AUTRE",AO27,"")</f>
        <v/>
      </c>
      <c r="AB27" s="83" t="str">
        <f t="shared" ref="AB27:AB33" si="5">IF(C26="","",AP27)</f>
        <v>cl</v>
      </c>
      <c r="AC27" s="842">
        <f t="shared" ref="AC27:AC33" si="6">IF(C26="","",AQ27)</f>
        <v>125</v>
      </c>
      <c r="AD27" s="163">
        <f t="shared" ref="AD27:AD33" si="7">IF(C26="","",IF(ISNUMBER(F26),F26,0))</f>
        <v>25</v>
      </c>
      <c r="AE27" s="164">
        <f t="shared" ref="AE27:AE33" si="8">IF(C26="","",IF(ISNUMBER(I26),I26,""))</f>
        <v>18</v>
      </c>
      <c r="AF27" s="855">
        <f t="shared" ref="AF27:AF33" si="9">IF(C26="","",AR27)</f>
        <v>9</v>
      </c>
      <c r="AH27" s="84">
        <f t="shared" ref="AH27:AH33" si="10">IF(C26="","",B26)</f>
        <v>1</v>
      </c>
      <c r="AI27" s="85" t="str">
        <f t="shared" ref="AI27:AI33" si="11">IF(C26="","",C26)</f>
        <v>Bitter Campari</v>
      </c>
      <c r="AJ27" s="84" t="str">
        <f t="shared" ref="AJ27:AJ33" si="12">IF(C26="","",IFERROR(VLOOKUP(E26,$AU$5:$AY$121,2,FALSE),"UNITÉ ?"))</f>
        <v>VOLUME</v>
      </c>
      <c r="AK27" s="84">
        <f t="shared" ref="AK27:AK33" si="13">IF(C26="","",IFERROR(VLOOKUP(E26,$AU$5:$AY$121,3,FALSE),""))</f>
        <v>10</v>
      </c>
      <c r="AL27" s="84">
        <f t="shared" ref="AL27:AL33" si="14">IF(OR(C26="",H26="QS",NOT(ISNUMBER(D26))),"",D26*AK27)</f>
        <v>50</v>
      </c>
      <c r="AM27" s="84">
        <f>IF(C26="","",R19)</f>
        <v>10</v>
      </c>
      <c r="AN27" s="84">
        <f t="shared" ref="AN27:AN33" si="15">IF(C26="","",IF(H26="QS","",IF(AL27="","",IF(OR(H26="F",H26="FIXE"),AL27,AL27*AM27))))</f>
        <v>500</v>
      </c>
      <c r="AO27" s="84">
        <f t="shared" ref="AO27:AO33" si="16">IF(C26="","",IF(H26="QS","",IF(AN27="","",IF(AJ27="VOLUME",IF(AN27&gt;=1000,ROUND(AN27/1000,2),IF(AN27&gt;=10,ROUND(AN27/10,1),ROUND(AN27,1))),IF(AJ27="MASSE",IF(AN27&gt;=1000,ROUND(AN27/1000,2),ROUND(AN27,0)),ROUND(AN27,2))))))</f>
        <v>50</v>
      </c>
      <c r="AP27" s="84" t="str">
        <f t="shared" ref="AP27:AP33" si="17">IF(C26="","",IF(H26="QS","",IF(AN27="","",IF(AJ27="VOLUME",IF(AN27&gt;=1000,"L",IF(AN27&gt;=10,"cl","ml")),IF(AJ27="MASSE",IF(AN27&gt;=1000,"Kg","g"),IFERROR(VLOOKUP(E26,$AU$5:$AY$121,5,FALSE),E26))))))</f>
        <v>cl</v>
      </c>
      <c r="AQ27" s="84">
        <f t="shared" ref="AQ27:AQ33" si="18">IF(C26="","",IF(OR(AJ27&lt;&gt;"VOLUME",NOT(ISNUMBER(F26)),AN27=""),0,AN27*F26/100))</f>
        <v>125</v>
      </c>
      <c r="AR27" s="84">
        <f t="shared" ref="AR27:AR33" si="19">IF(C26="","",IF(H26="QS",0,IF(NOT(ISNUMBER(I26)),0,IF(OR(AJ27="VOLUME",AJ27="MASSE"),AN27/1000*I26,AN27*I26))))</f>
        <v>9</v>
      </c>
      <c r="AS27" s="84" t="str">
        <f t="shared" ref="AS27:AS33" si="20">IF(C26="","",IF(H26="QS","OK",IF(NOT(ISNUMBER(D26)),"QUANTITÉ ?",IF(E26="","UNITÉ ?",IF(AJ27="UNITÉ ?","UNITÉ ?",IF(AND(H26&lt;&gt;"",H26&lt;&gt;"PROP",H26&lt;&gt;"F",H26&lt;&gt;"FIXE",H26&lt;&gt;"QS"),"RÈGLE ?","OK"))))))</f>
        <v>OK</v>
      </c>
      <c r="AU27" s="53" t="s">
        <v>177</v>
      </c>
      <c r="AV27" s="17" t="s">
        <v>127</v>
      </c>
      <c r="AW27" s="17">
        <v>1</v>
      </c>
      <c r="AX27" s="17" t="s">
        <v>128</v>
      </c>
      <c r="AY27" s="17" t="s">
        <v>178</v>
      </c>
      <c r="AZ27" s="157" t="s">
        <v>139</v>
      </c>
      <c r="BB27" s="144" t="s">
        <v>179</v>
      </c>
      <c r="BC27" s="145">
        <v>15</v>
      </c>
    </row>
    <row r="28" spans="1:55" ht="24.95" customHeight="1">
      <c r="A28" s="757"/>
      <c r="B28" s="158">
        <v>3</v>
      </c>
      <c r="C28" s="70" t="s">
        <v>180</v>
      </c>
      <c r="D28" s="79">
        <v>5</v>
      </c>
      <c r="E28" s="18" t="s">
        <v>32</v>
      </c>
      <c r="F28" s="72">
        <v>0</v>
      </c>
      <c r="G28" s="159">
        <v>1</v>
      </c>
      <c r="H28" s="160" t="s">
        <v>156</v>
      </c>
      <c r="I28" s="161">
        <v>0.5</v>
      </c>
      <c r="J28" s="73"/>
      <c r="K28" s="73" t="s">
        <v>848</v>
      </c>
      <c r="L28" s="73"/>
      <c r="M28" s="74"/>
      <c r="N28" s="3"/>
      <c r="O28" s="53" t="s">
        <v>181</v>
      </c>
      <c r="V28" s="846" t="str">
        <f t="shared" si="0"/>
        <v>Vermouth italien</v>
      </c>
      <c r="W28" s="848" t="str">
        <f t="shared" si="1"/>
        <v>5 cl</v>
      </c>
      <c r="X28" s="81">
        <f t="shared" si="2"/>
        <v>500</v>
      </c>
      <c r="Y28" s="836" t="str">
        <f t="shared" si="3"/>
        <v>50.0 cl ► 0.500 L</v>
      </c>
      <c r="Z28" s="839" t="str">
        <f>IF(OR(C27="",AJ28&lt;&gt;"VOLUME",AN34=0),"","≈ "&amp;TEXT(ROUND(AN28/AN34*10*2,0)/2,"0.0")&amp;"/10")</f>
        <v>≈ 3.5/10</v>
      </c>
      <c r="AA28" s="82" t="str">
        <f t="shared" si="4"/>
        <v/>
      </c>
      <c r="AB28" s="83" t="str">
        <f t="shared" si="5"/>
        <v>cl</v>
      </c>
      <c r="AC28" s="842">
        <f t="shared" si="6"/>
        <v>75</v>
      </c>
      <c r="AD28" s="163">
        <f t="shared" si="7"/>
        <v>15</v>
      </c>
      <c r="AE28" s="164">
        <f t="shared" si="8"/>
        <v>9</v>
      </c>
      <c r="AF28" s="855">
        <f t="shared" si="9"/>
        <v>4.5</v>
      </c>
      <c r="AH28" s="84">
        <f t="shared" si="10"/>
        <v>2</v>
      </c>
      <c r="AI28" s="85" t="str">
        <f t="shared" si="11"/>
        <v>Vermouth italien</v>
      </c>
      <c r="AJ28" s="84" t="str">
        <f t="shared" si="12"/>
        <v>VOLUME</v>
      </c>
      <c r="AK28" s="84">
        <f t="shared" si="13"/>
        <v>10</v>
      </c>
      <c r="AL28" s="84">
        <f t="shared" si="14"/>
        <v>50</v>
      </c>
      <c r="AM28" s="84">
        <f>IF(C27="","",R19)</f>
        <v>10</v>
      </c>
      <c r="AN28" s="84">
        <f t="shared" si="15"/>
        <v>500</v>
      </c>
      <c r="AO28" s="84">
        <f t="shared" si="16"/>
        <v>50</v>
      </c>
      <c r="AP28" s="84" t="str">
        <f t="shared" si="17"/>
        <v>cl</v>
      </c>
      <c r="AQ28" s="84">
        <f t="shared" si="18"/>
        <v>75</v>
      </c>
      <c r="AR28" s="84">
        <f t="shared" si="19"/>
        <v>4.5</v>
      </c>
      <c r="AS28" s="84" t="str">
        <f t="shared" si="20"/>
        <v>OK</v>
      </c>
      <c r="AU28" s="53" t="s">
        <v>181</v>
      </c>
      <c r="AV28" s="17" t="s">
        <v>127</v>
      </c>
      <c r="AW28" s="17">
        <v>1</v>
      </c>
      <c r="AX28" s="17" t="s">
        <v>128</v>
      </c>
      <c r="AY28" s="17" t="s">
        <v>182</v>
      </c>
      <c r="AZ28" s="157" t="s">
        <v>139</v>
      </c>
      <c r="BB28" s="144" t="s">
        <v>183</v>
      </c>
      <c r="BC28" s="145">
        <v>57</v>
      </c>
    </row>
    <row r="29" spans="1:55" ht="24.95" customHeight="1">
      <c r="A29" s="757"/>
      <c r="B29" s="162">
        <v>4</v>
      </c>
      <c r="C29" s="70" t="s">
        <v>843</v>
      </c>
      <c r="D29" s="79">
        <v>1</v>
      </c>
      <c r="E29" s="53" t="s">
        <v>184</v>
      </c>
      <c r="F29" s="72"/>
      <c r="G29" s="159">
        <v>1</v>
      </c>
      <c r="H29" s="160" t="s">
        <v>156</v>
      </c>
      <c r="I29" s="161">
        <v>0.25</v>
      </c>
      <c r="J29" s="73"/>
      <c r="K29" s="73"/>
      <c r="L29" s="73"/>
      <c r="M29" s="74"/>
      <c r="N29" s="3"/>
      <c r="O29" s="53" t="s">
        <v>185</v>
      </c>
      <c r="Q29" s="744" t="s">
        <v>566</v>
      </c>
      <c r="V29" s="846" t="str">
        <f t="shared" si="0"/>
        <v>Eau gazeuse</v>
      </c>
      <c r="W29" s="848" t="str">
        <f t="shared" si="1"/>
        <v>5 cl</v>
      </c>
      <c r="X29" s="81">
        <f t="shared" si="2"/>
        <v>500</v>
      </c>
      <c r="Y29" s="836" t="str">
        <f t="shared" si="3"/>
        <v>50.0 cl ► 0.500 L</v>
      </c>
      <c r="Z29" s="839" t="str">
        <f>IF(OR(C28="",AJ29&lt;&gt;"VOLUME",AN34=0),"","≈ "&amp;TEXT(ROUND(AN29/AN34*10*2,0)/2,"0.0")&amp;"/10")</f>
        <v>≈ 3.5/10</v>
      </c>
      <c r="AA29" s="82" t="str">
        <f t="shared" si="4"/>
        <v/>
      </c>
      <c r="AB29" s="83" t="str">
        <f t="shared" si="5"/>
        <v>cl</v>
      </c>
      <c r="AC29" s="842">
        <f t="shared" si="6"/>
        <v>0</v>
      </c>
      <c r="AD29" s="163">
        <f t="shared" si="7"/>
        <v>0</v>
      </c>
      <c r="AE29" s="164">
        <f t="shared" si="8"/>
        <v>0.5</v>
      </c>
      <c r="AF29" s="855">
        <f t="shared" si="9"/>
        <v>0.25</v>
      </c>
      <c r="AH29" s="84">
        <f t="shared" si="10"/>
        <v>3</v>
      </c>
      <c r="AI29" s="85" t="str">
        <f t="shared" si="11"/>
        <v>Eau gazeuse</v>
      </c>
      <c r="AJ29" s="84" t="str">
        <f t="shared" si="12"/>
        <v>VOLUME</v>
      </c>
      <c r="AK29" s="84">
        <f t="shared" si="13"/>
        <v>10</v>
      </c>
      <c r="AL29" s="84">
        <f t="shared" si="14"/>
        <v>50</v>
      </c>
      <c r="AM29" s="84">
        <f>IF(C28="","",R19)</f>
        <v>10</v>
      </c>
      <c r="AN29" s="84">
        <f t="shared" si="15"/>
        <v>500</v>
      </c>
      <c r="AO29" s="84">
        <f t="shared" si="16"/>
        <v>50</v>
      </c>
      <c r="AP29" s="84" t="str">
        <f t="shared" si="17"/>
        <v>cl</v>
      </c>
      <c r="AQ29" s="84">
        <f t="shared" si="18"/>
        <v>0</v>
      </c>
      <c r="AR29" s="84">
        <f t="shared" si="19"/>
        <v>0.25</v>
      </c>
      <c r="AS29" s="84" t="str">
        <f t="shared" si="20"/>
        <v>OK</v>
      </c>
      <c r="AU29" s="53" t="s">
        <v>185</v>
      </c>
      <c r="AV29" s="17" t="s">
        <v>127</v>
      </c>
      <c r="AW29" s="17">
        <v>1</v>
      </c>
      <c r="AX29" s="17" t="s">
        <v>128</v>
      </c>
      <c r="AY29" s="17" t="s">
        <v>186</v>
      </c>
      <c r="AZ29" s="157" t="s">
        <v>139</v>
      </c>
      <c r="BB29" s="144" t="s">
        <v>187</v>
      </c>
      <c r="BC29" s="145">
        <v>47</v>
      </c>
    </row>
    <row r="30" spans="1:55" ht="24.95" customHeight="1">
      <c r="A30" s="757"/>
      <c r="B30" s="158">
        <v>5</v>
      </c>
      <c r="C30" s="70" t="s">
        <v>188</v>
      </c>
      <c r="D30" s="79"/>
      <c r="E30" s="53" t="s">
        <v>151</v>
      </c>
      <c r="F30" s="72"/>
      <c r="G30" s="159">
        <v>1</v>
      </c>
      <c r="H30" s="160" t="s">
        <v>151</v>
      </c>
      <c r="I30" s="161">
        <v>0</v>
      </c>
      <c r="J30" s="73"/>
      <c r="K30" s="73"/>
      <c r="L30" s="73"/>
      <c r="M30" s="74"/>
      <c r="N30" s="3"/>
      <c r="O30" s="53" t="s">
        <v>189</v>
      </c>
      <c r="Q30" s="744"/>
      <c r="V30" s="846" t="str">
        <f t="shared" si="0"/>
        <v>Tranche d'orange*</v>
      </c>
      <c r="W30" s="848" t="str">
        <f t="shared" si="1"/>
        <v>1 Tranche(s)</v>
      </c>
      <c r="X30" s="81">
        <f t="shared" si="2"/>
        <v>10</v>
      </c>
      <c r="Y30" s="836" t="str">
        <f t="shared" si="3"/>
        <v>10 tranche(s)</v>
      </c>
      <c r="Z30" s="839" t="str">
        <f>IF(OR(C29="",AJ30&lt;&gt;"VOLUME",AN34=0),"","≈ "&amp;TEXT(ROUND(AN30/AN34*10*2,0)/2,"0.0")&amp;"/10")</f>
        <v/>
      </c>
      <c r="AA30" s="82">
        <f t="shared" si="4"/>
        <v>10</v>
      </c>
      <c r="AB30" s="83" t="str">
        <f t="shared" si="5"/>
        <v>tranche(s)</v>
      </c>
      <c r="AC30" s="842">
        <f t="shared" si="6"/>
        <v>0</v>
      </c>
      <c r="AD30" s="163">
        <f t="shared" si="7"/>
        <v>0</v>
      </c>
      <c r="AE30" s="164">
        <f t="shared" si="8"/>
        <v>0.25</v>
      </c>
      <c r="AF30" s="855">
        <f t="shared" si="9"/>
        <v>2.5</v>
      </c>
      <c r="AH30" s="84">
        <f t="shared" si="10"/>
        <v>4</v>
      </c>
      <c r="AI30" s="85" t="str">
        <f t="shared" si="11"/>
        <v>Tranche d'orange*</v>
      </c>
      <c r="AJ30" s="84" t="str">
        <f t="shared" si="12"/>
        <v>AUTRE</v>
      </c>
      <c r="AK30" s="84">
        <f t="shared" si="13"/>
        <v>1</v>
      </c>
      <c r="AL30" s="84">
        <f t="shared" si="14"/>
        <v>1</v>
      </c>
      <c r="AM30" s="84">
        <f>IF(C29="","",R19)</f>
        <v>10</v>
      </c>
      <c r="AN30" s="84">
        <f t="shared" si="15"/>
        <v>10</v>
      </c>
      <c r="AO30" s="84">
        <f t="shared" si="16"/>
        <v>10</v>
      </c>
      <c r="AP30" s="84" t="str">
        <f t="shared" si="17"/>
        <v>tranche(s)</v>
      </c>
      <c r="AQ30" s="84">
        <f t="shared" si="18"/>
        <v>0</v>
      </c>
      <c r="AR30" s="84">
        <f t="shared" si="19"/>
        <v>2.5</v>
      </c>
      <c r="AS30" s="84" t="str">
        <f t="shared" si="20"/>
        <v>OK</v>
      </c>
      <c r="AU30" s="53" t="s">
        <v>189</v>
      </c>
      <c r="AV30" s="17" t="s">
        <v>127</v>
      </c>
      <c r="AW30" s="17">
        <v>1</v>
      </c>
      <c r="AX30" s="17" t="s">
        <v>128</v>
      </c>
      <c r="AY30" s="17" t="s">
        <v>190</v>
      </c>
      <c r="AZ30" s="157" t="s">
        <v>139</v>
      </c>
      <c r="BB30" s="144" t="s">
        <v>191</v>
      </c>
      <c r="BC30" s="145">
        <v>40</v>
      </c>
    </row>
    <row r="31" spans="1:55" ht="24.95" customHeight="1">
      <c r="A31" s="757"/>
      <c r="B31" s="162"/>
      <c r="C31" s="70"/>
      <c r="D31" s="79"/>
      <c r="E31" s="3"/>
      <c r="F31" s="72"/>
      <c r="G31" s="159"/>
      <c r="H31" s="160"/>
      <c r="I31" s="161"/>
      <c r="J31" s="73"/>
      <c r="K31" s="73"/>
      <c r="L31" s="73"/>
      <c r="M31" s="74"/>
      <c r="N31" s="3"/>
      <c r="O31" s="53" t="s">
        <v>192</v>
      </c>
      <c r="V31" s="846" t="str">
        <f t="shared" si="0"/>
        <v>Glace</v>
      </c>
      <c r="W31" s="848" t="str">
        <f t="shared" si="1"/>
        <v>QS</v>
      </c>
      <c r="X31" s="81" t="str">
        <f t="shared" si="2"/>
        <v/>
      </c>
      <c r="Y31" s="836" t="str">
        <f t="shared" si="3"/>
        <v>Qt. suffisante</v>
      </c>
      <c r="Z31" s="839" t="str">
        <f>IF(OR(C30="",AJ31&lt;&gt;"VOLUME",AN34=0),"","≈ "&amp;TEXT(ROUND(AN31/AN34*10*2,0)/2,"0.0")&amp;"/10")</f>
        <v/>
      </c>
      <c r="AA31" s="80" t="str">
        <f t="shared" si="4"/>
        <v/>
      </c>
      <c r="AB31" s="83" t="str">
        <f t="shared" si="5"/>
        <v/>
      </c>
      <c r="AC31" s="842">
        <f t="shared" si="6"/>
        <v>0</v>
      </c>
      <c r="AD31" s="163">
        <f t="shared" si="7"/>
        <v>0</v>
      </c>
      <c r="AE31" s="164">
        <f t="shared" si="8"/>
        <v>0</v>
      </c>
      <c r="AF31" s="855">
        <f t="shared" si="9"/>
        <v>0</v>
      </c>
      <c r="AH31" s="84">
        <f t="shared" si="10"/>
        <v>5</v>
      </c>
      <c r="AI31" s="85" t="str">
        <f t="shared" si="11"/>
        <v>Glace</v>
      </c>
      <c r="AJ31" s="84" t="str">
        <f t="shared" si="12"/>
        <v>AUTRE</v>
      </c>
      <c r="AK31" s="84">
        <f t="shared" si="13"/>
        <v>1</v>
      </c>
      <c r="AL31" s="84" t="str">
        <f t="shared" si="14"/>
        <v/>
      </c>
      <c r="AM31" s="84">
        <f>IF(C30="","",R19)</f>
        <v>10</v>
      </c>
      <c r="AN31" s="84" t="str">
        <f t="shared" si="15"/>
        <v/>
      </c>
      <c r="AO31" s="84" t="str">
        <f t="shared" si="16"/>
        <v/>
      </c>
      <c r="AP31" s="84" t="str">
        <f t="shared" si="17"/>
        <v/>
      </c>
      <c r="AQ31" s="84">
        <f t="shared" si="18"/>
        <v>0</v>
      </c>
      <c r="AR31" s="84">
        <f t="shared" si="19"/>
        <v>0</v>
      </c>
      <c r="AS31" s="84" t="str">
        <f t="shared" si="20"/>
        <v>OK</v>
      </c>
      <c r="AU31" s="53" t="s">
        <v>192</v>
      </c>
      <c r="AV31" s="17" t="s">
        <v>127</v>
      </c>
      <c r="AW31" s="17">
        <v>1</v>
      </c>
      <c r="AX31" s="17" t="s">
        <v>128</v>
      </c>
      <c r="AY31" s="17" t="s">
        <v>193</v>
      </c>
      <c r="AZ31" s="157" t="s">
        <v>139</v>
      </c>
      <c r="BB31" s="144" t="s">
        <v>194</v>
      </c>
      <c r="BC31" s="145">
        <v>3</v>
      </c>
    </row>
    <row r="32" spans="1:55" ht="24.95" customHeight="1">
      <c r="A32" s="757"/>
      <c r="B32" s="158"/>
      <c r="C32" s="70"/>
      <c r="D32" s="79"/>
      <c r="E32" s="3"/>
      <c r="F32" s="72"/>
      <c r="G32" s="159"/>
      <c r="H32" s="160"/>
      <c r="I32" s="161"/>
      <c r="J32" s="73"/>
      <c r="K32" s="73"/>
      <c r="L32" s="73"/>
      <c r="M32" s="74"/>
      <c r="N32" s="3"/>
      <c r="O32" s="53" t="s">
        <v>195</v>
      </c>
      <c r="Q32" s="355" t="s">
        <v>558</v>
      </c>
      <c r="V32" s="847" t="str">
        <f t="shared" si="0"/>
        <v/>
      </c>
      <c r="W32" s="849" t="str">
        <f t="shared" si="1"/>
        <v/>
      </c>
      <c r="X32" s="86" t="str">
        <f t="shared" si="2"/>
        <v/>
      </c>
      <c r="Y32" s="837" t="str">
        <f t="shared" si="3"/>
        <v/>
      </c>
      <c r="Z32" s="840" t="str">
        <f>IF(OR(C31="",AJ32&lt;&gt;"VOLUME",AN34=0),"","≈ "&amp;TEXT(ROUND(AN32/AN34*10*2,0)/2,"0.0")&amp;"/10")</f>
        <v/>
      </c>
      <c r="AA32" s="87" t="str">
        <f t="shared" si="4"/>
        <v/>
      </c>
      <c r="AB32" s="88" t="str">
        <f t="shared" si="5"/>
        <v/>
      </c>
      <c r="AC32" s="843" t="str">
        <f t="shared" si="6"/>
        <v/>
      </c>
      <c r="AD32" s="88" t="str">
        <f t="shared" si="7"/>
        <v/>
      </c>
      <c r="AE32" s="88" t="str">
        <f t="shared" si="8"/>
        <v/>
      </c>
      <c r="AF32" s="834" t="str">
        <f t="shared" si="9"/>
        <v/>
      </c>
      <c r="AH32" s="84" t="str">
        <f t="shared" si="10"/>
        <v/>
      </c>
      <c r="AI32" s="85" t="str">
        <f t="shared" si="11"/>
        <v/>
      </c>
      <c r="AJ32" s="84" t="str">
        <f t="shared" si="12"/>
        <v/>
      </c>
      <c r="AK32" s="84" t="str">
        <f t="shared" si="13"/>
        <v/>
      </c>
      <c r="AL32" s="84" t="str">
        <f t="shared" si="14"/>
        <v/>
      </c>
      <c r="AM32" s="84" t="str">
        <f>IF(C31="","",R19)</f>
        <v/>
      </c>
      <c r="AN32" s="84" t="str">
        <f t="shared" si="15"/>
        <v/>
      </c>
      <c r="AO32" s="84" t="str">
        <f t="shared" si="16"/>
        <v/>
      </c>
      <c r="AP32" s="84" t="str">
        <f t="shared" si="17"/>
        <v/>
      </c>
      <c r="AQ32" s="84" t="str">
        <f t="shared" si="18"/>
        <v/>
      </c>
      <c r="AR32" s="84" t="str">
        <f t="shared" si="19"/>
        <v/>
      </c>
      <c r="AS32" s="84" t="str">
        <f t="shared" si="20"/>
        <v/>
      </c>
      <c r="AU32" s="53" t="s">
        <v>195</v>
      </c>
      <c r="AV32" s="17" t="s">
        <v>127</v>
      </c>
      <c r="AW32" s="17">
        <v>1</v>
      </c>
      <c r="AX32" s="17" t="s">
        <v>128</v>
      </c>
      <c r="AY32" s="17" t="s">
        <v>196</v>
      </c>
      <c r="AZ32" s="157" t="s">
        <v>139</v>
      </c>
      <c r="BB32" s="144" t="s">
        <v>197</v>
      </c>
      <c r="BC32" s="145">
        <v>4.5</v>
      </c>
    </row>
    <row r="33" spans="1:55" ht="24.95" customHeight="1">
      <c r="A33" s="757"/>
      <c r="B33" s="14" t="s">
        <v>44</v>
      </c>
      <c r="C33" s="146" t="s">
        <v>198</v>
      </c>
      <c r="D33" s="89"/>
      <c r="E33" s="89"/>
      <c r="F33" s="89"/>
      <c r="G33" s="89"/>
      <c r="H33" s="89"/>
      <c r="I33" s="89"/>
      <c r="J33" s="89"/>
      <c r="K33" s="89"/>
      <c r="L33" s="89"/>
      <c r="M33" s="90"/>
      <c r="N33" s="3"/>
      <c r="O33" s="53" t="s">
        <v>199</v>
      </c>
      <c r="Q33"/>
      <c r="V33" s="847" t="str">
        <f t="shared" si="0"/>
        <v/>
      </c>
      <c r="W33" s="849" t="str">
        <f t="shared" si="1"/>
        <v/>
      </c>
      <c r="X33" s="86" t="str">
        <f t="shared" si="2"/>
        <v/>
      </c>
      <c r="Y33" s="837" t="str">
        <f t="shared" si="3"/>
        <v/>
      </c>
      <c r="Z33" s="840" t="str">
        <f>IF(OR(C32="",AJ33&lt;&gt;"VOLUME",AN34=0),"","≈ "&amp;TEXT(ROUND(AN33/AN34*10*2,0)/2,"0.0")&amp;"/10")</f>
        <v/>
      </c>
      <c r="AA33" s="87" t="str">
        <f t="shared" si="4"/>
        <v/>
      </c>
      <c r="AB33" s="88" t="str">
        <f t="shared" si="5"/>
        <v/>
      </c>
      <c r="AC33" s="843" t="str">
        <f t="shared" si="6"/>
        <v/>
      </c>
      <c r="AD33" s="88" t="str">
        <f t="shared" si="7"/>
        <v/>
      </c>
      <c r="AE33" s="88" t="str">
        <f t="shared" si="8"/>
        <v/>
      </c>
      <c r="AF33" s="834" t="str">
        <f t="shared" si="9"/>
        <v/>
      </c>
      <c r="AH33" s="84" t="str">
        <f t="shared" si="10"/>
        <v/>
      </c>
      <c r="AI33" s="85" t="str">
        <f t="shared" si="11"/>
        <v/>
      </c>
      <c r="AJ33" s="84" t="str">
        <f t="shared" si="12"/>
        <v/>
      </c>
      <c r="AK33" s="84" t="str">
        <f t="shared" si="13"/>
        <v/>
      </c>
      <c r="AL33" s="84" t="str">
        <f t="shared" si="14"/>
        <v/>
      </c>
      <c r="AM33" s="84" t="str">
        <f>IF(C32="","",R19)</f>
        <v/>
      </c>
      <c r="AN33" s="84" t="str">
        <f t="shared" si="15"/>
        <v/>
      </c>
      <c r="AO33" s="84" t="str">
        <f t="shared" si="16"/>
        <v/>
      </c>
      <c r="AP33" s="84" t="str">
        <f t="shared" si="17"/>
        <v/>
      </c>
      <c r="AQ33" s="84" t="str">
        <f t="shared" si="18"/>
        <v/>
      </c>
      <c r="AR33" s="84" t="str">
        <f t="shared" si="19"/>
        <v/>
      </c>
      <c r="AS33" s="84" t="str">
        <f t="shared" si="20"/>
        <v/>
      </c>
      <c r="AU33" s="53" t="s">
        <v>199</v>
      </c>
      <c r="AV33" s="17" t="s">
        <v>127</v>
      </c>
      <c r="AW33" s="17">
        <v>1</v>
      </c>
      <c r="AX33" s="17" t="s">
        <v>128</v>
      </c>
      <c r="AY33" s="17" t="s">
        <v>200</v>
      </c>
      <c r="AZ33" s="157" t="s">
        <v>139</v>
      </c>
      <c r="BB33" s="144" t="s">
        <v>201</v>
      </c>
      <c r="BC33" s="145">
        <v>30</v>
      </c>
    </row>
    <row r="34" spans="1:55" ht="24.95" customHeight="1">
      <c r="A34" s="757"/>
      <c r="B34" s="91">
        <v>0</v>
      </c>
      <c r="C34" s="10" t="s">
        <v>491</v>
      </c>
      <c r="D34" s="11"/>
      <c r="E34" s="11"/>
      <c r="F34" s="11"/>
      <c r="G34" s="11"/>
      <c r="H34" s="11"/>
      <c r="I34" s="11"/>
      <c r="J34" s="11"/>
      <c r="K34" s="11"/>
      <c r="L34" s="11"/>
      <c r="M34" s="92"/>
      <c r="N34" s="3"/>
      <c r="O34" s="53" t="s">
        <v>202</v>
      </c>
      <c r="Q34" s="29" t="s">
        <v>70</v>
      </c>
      <c r="V34" s="851" t="s">
        <v>203</v>
      </c>
      <c r="W34" s="93"/>
      <c r="X34" s="845">
        <f>AN34</f>
        <v>1500</v>
      </c>
      <c r="Y34" s="835" t="str">
        <f>IF(AN34=0,"",TEXT(AN34/1000,"0.000")&amp;" L")</f>
        <v>1.500 L</v>
      </c>
      <c r="Z34" s="857"/>
      <c r="AA34" s="93"/>
      <c r="AB34" s="93"/>
      <c r="AC34" s="832">
        <f>AQ34</f>
        <v>200</v>
      </c>
      <c r="AD34" s="844">
        <f>IF(AN34=0,"",AQ34/AN34*100)</f>
        <v>13.333333333333334</v>
      </c>
      <c r="AE34" s="93"/>
      <c r="AF34" s="856">
        <f>AR34</f>
        <v>16.25</v>
      </c>
      <c r="AH34" s="94" t="s">
        <v>203</v>
      </c>
      <c r="AI34" s="94"/>
      <c r="AJ34" s="94"/>
      <c r="AK34" s="94"/>
      <c r="AL34" s="94"/>
      <c r="AM34" s="94"/>
      <c r="AN34" s="94">
        <f>SUMIF(AJ27:AJ33,"VOLUME",AN27:AN33)</f>
        <v>1500</v>
      </c>
      <c r="AO34" s="94"/>
      <c r="AP34" s="94"/>
      <c r="AQ34" s="94">
        <f>SUM(AQ27:AQ33)</f>
        <v>200</v>
      </c>
      <c r="AR34" s="94">
        <f>SUM(AR27:AR33)</f>
        <v>16.25</v>
      </c>
      <c r="AS34" s="94" t="str">
        <f>IF(COUNTIF(AS27:AS33,"&lt;&gt;OK")-COUNTBLANK(AS27:AS33)=0,"OK","À CONTRÔLER")</f>
        <v>OK</v>
      </c>
      <c r="AU34" s="53" t="s">
        <v>202</v>
      </c>
      <c r="AV34" s="17" t="s">
        <v>127</v>
      </c>
      <c r="AW34" s="17">
        <v>1</v>
      </c>
      <c r="AX34" s="17" t="s">
        <v>128</v>
      </c>
      <c r="AY34" s="17" t="s">
        <v>204</v>
      </c>
      <c r="AZ34" s="157" t="s">
        <v>139</v>
      </c>
      <c r="BB34" s="144" t="s">
        <v>205</v>
      </c>
      <c r="BC34" s="145">
        <v>20</v>
      </c>
    </row>
    <row r="35" spans="1:55" ht="24.95" customHeight="1">
      <c r="A35" s="757"/>
      <c r="B35" s="95">
        <v>1</v>
      </c>
      <c r="C35" s="96" t="s">
        <v>206</v>
      </c>
      <c r="D35" s="96"/>
      <c r="E35" s="96"/>
      <c r="F35" s="96"/>
      <c r="G35" s="96"/>
      <c r="H35" s="96"/>
      <c r="I35" s="96"/>
      <c r="J35" s="96"/>
      <c r="K35" s="96"/>
      <c r="L35" s="96"/>
      <c r="M35" s="74"/>
      <c r="N35" s="3"/>
      <c r="O35" s="53" t="s">
        <v>207</v>
      </c>
      <c r="Q35" s="184"/>
      <c r="V35" s="832" t="s">
        <v>208</v>
      </c>
      <c r="W35" s="19" t="s">
        <v>209</v>
      </c>
      <c r="X35" s="36"/>
      <c r="Y35" s="858"/>
      <c r="Z35" s="859"/>
      <c r="AA35" s="97"/>
      <c r="AB35" s="97"/>
      <c r="AC35" s="97"/>
      <c r="AD35" s="97"/>
      <c r="AE35" s="97"/>
      <c r="AF35" s="860"/>
      <c r="AH35" s="3" t="s">
        <v>6994</v>
      </c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U35" s="53" t="s">
        <v>207</v>
      </c>
      <c r="AV35" s="17" t="s">
        <v>127</v>
      </c>
      <c r="AW35" s="17">
        <v>1</v>
      </c>
      <c r="AX35" s="17" t="s">
        <v>128</v>
      </c>
      <c r="AY35" s="17" t="s">
        <v>210</v>
      </c>
      <c r="AZ35" s="157" t="s">
        <v>139</v>
      </c>
      <c r="BB35" s="144" t="s">
        <v>211</v>
      </c>
      <c r="BC35" s="145">
        <v>25</v>
      </c>
    </row>
    <row r="36" spans="1:55" ht="24.95" customHeight="1">
      <c r="A36" s="757"/>
      <c r="B36" s="95">
        <v>2</v>
      </c>
      <c r="C36" s="96" t="s">
        <v>212</v>
      </c>
      <c r="D36" s="96"/>
      <c r="E36" s="96"/>
      <c r="F36" s="96"/>
      <c r="G36" s="96"/>
      <c r="H36" s="96"/>
      <c r="I36" s="96"/>
      <c r="J36" s="96"/>
      <c r="K36" s="96"/>
      <c r="L36" s="96"/>
      <c r="M36" s="74"/>
      <c r="N36" s="3"/>
      <c r="O36" s="53" t="s">
        <v>213</v>
      </c>
      <c r="P36" s="3"/>
      <c r="Q36" s="29" t="s">
        <v>584</v>
      </c>
      <c r="V36" s="98" t="str">
        <f t="shared" ref="V36:V43" si="21">IF(C35="","",C35)</f>
        <v>Préparer le verre et le poste de travail.</v>
      </c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H36" s="146" t="s">
        <v>214</v>
      </c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3"/>
      <c r="AU36" s="53" t="s">
        <v>213</v>
      </c>
      <c r="AV36" s="17" t="s">
        <v>127</v>
      </c>
      <c r="AW36" s="17">
        <v>1</v>
      </c>
      <c r="AX36" s="17" t="s">
        <v>128</v>
      </c>
      <c r="AY36" s="17" t="s">
        <v>215</v>
      </c>
      <c r="AZ36" s="157" t="s">
        <v>139</v>
      </c>
      <c r="BB36" s="144" t="s">
        <v>216</v>
      </c>
      <c r="BC36" s="145">
        <v>30</v>
      </c>
    </row>
    <row r="37" spans="1:55" ht="24.95" customHeight="1">
      <c r="A37" s="757"/>
      <c r="B37" s="95">
        <v>3</v>
      </c>
      <c r="C37" s="96" t="s">
        <v>217</v>
      </c>
      <c r="D37" s="96"/>
      <c r="E37" s="96"/>
      <c r="F37" s="96"/>
      <c r="G37" s="96"/>
      <c r="H37" s="96"/>
      <c r="I37" s="96"/>
      <c r="J37" s="96"/>
      <c r="K37" s="96"/>
      <c r="L37" s="96"/>
      <c r="M37" s="74"/>
      <c r="N37" s="3"/>
      <c r="O37" s="53" t="s">
        <v>218</v>
      </c>
      <c r="P37" s="3"/>
      <c r="Q37"/>
      <c r="R37" s="3"/>
      <c r="S37" s="3"/>
      <c r="T37" s="3"/>
      <c r="U37" s="3"/>
      <c r="V37" s="98" t="str">
        <f t="shared" si="21"/>
        <v>Remplir le verre de glaçons selon la fiche.</v>
      </c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H37" s="165" t="s">
        <v>219</v>
      </c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U37" s="53" t="s">
        <v>218</v>
      </c>
      <c r="AV37" s="17" t="s">
        <v>127</v>
      </c>
      <c r="AW37" s="17">
        <v>1</v>
      </c>
      <c r="AX37" s="17" t="s">
        <v>128</v>
      </c>
      <c r="AY37" s="17" t="s">
        <v>220</v>
      </c>
      <c r="AZ37" s="157" t="s">
        <v>139</v>
      </c>
      <c r="BB37" s="144" t="s">
        <v>83</v>
      </c>
      <c r="BC37" s="145">
        <v>25</v>
      </c>
    </row>
    <row r="38" spans="1:55" ht="24.95" customHeight="1">
      <c r="A38" s="757"/>
      <c r="B38" s="95">
        <v>4</v>
      </c>
      <c r="C38" s="96" t="s">
        <v>221</v>
      </c>
      <c r="D38" s="96"/>
      <c r="E38" s="96"/>
      <c r="F38" s="96"/>
      <c r="G38" s="96"/>
      <c r="H38" s="96"/>
      <c r="I38" s="96"/>
      <c r="J38" s="96"/>
      <c r="K38" s="96"/>
      <c r="L38" s="96"/>
      <c r="M38" s="74"/>
      <c r="N38" s="3"/>
      <c r="O38" s="53" t="s">
        <v>184</v>
      </c>
      <c r="P38" s="3"/>
      <c r="Q38" s="356" t="s">
        <v>564</v>
      </c>
      <c r="R38" s="3"/>
      <c r="S38" s="3"/>
      <c r="T38" s="3"/>
      <c r="U38" s="3"/>
      <c r="V38" s="98" t="str">
        <f t="shared" si="21"/>
        <v>Doser le Bitter Campari.</v>
      </c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H38" s="166" t="s">
        <v>222</v>
      </c>
      <c r="AI38" s="167" t="s">
        <v>223</v>
      </c>
      <c r="AJ38" s="165"/>
      <c r="AK38" s="167" t="s">
        <v>224</v>
      </c>
      <c r="AL38" s="165"/>
      <c r="AM38" s="165"/>
      <c r="AN38" s="165"/>
      <c r="AO38" s="167" t="s">
        <v>225</v>
      </c>
      <c r="AP38" s="165"/>
      <c r="AQ38" s="165"/>
      <c r="AR38" s="165"/>
      <c r="AU38" s="53" t="s">
        <v>184</v>
      </c>
      <c r="AV38" s="17" t="s">
        <v>127</v>
      </c>
      <c r="AW38" s="17">
        <v>1</v>
      </c>
      <c r="AX38" s="17" t="s">
        <v>128</v>
      </c>
      <c r="AY38" s="17" t="s">
        <v>226</v>
      </c>
      <c r="AZ38" s="157" t="s">
        <v>139</v>
      </c>
      <c r="BB38" s="144" t="s">
        <v>227</v>
      </c>
      <c r="BC38" s="145">
        <v>6</v>
      </c>
    </row>
    <row r="39" spans="1:55" ht="24.95" customHeight="1">
      <c r="A39" s="757"/>
      <c r="B39" s="95">
        <v>5</v>
      </c>
      <c r="C39" s="96" t="s">
        <v>228</v>
      </c>
      <c r="D39" s="96"/>
      <c r="E39" s="96"/>
      <c r="F39" s="96"/>
      <c r="G39" s="96"/>
      <c r="H39" s="96"/>
      <c r="I39" s="96"/>
      <c r="J39" s="96"/>
      <c r="K39" s="96"/>
      <c r="L39" s="96"/>
      <c r="M39" s="74"/>
      <c r="N39" s="3"/>
      <c r="O39" s="53" t="s">
        <v>229</v>
      </c>
      <c r="P39" s="3"/>
      <c r="Q39"/>
      <c r="R39" s="3"/>
      <c r="S39" s="3"/>
      <c r="T39" s="3"/>
      <c r="U39" s="3"/>
      <c r="V39" s="98" t="str">
        <f t="shared" si="21"/>
        <v>Doser le vermouth italien.</v>
      </c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H39" s="750" t="s">
        <v>156</v>
      </c>
      <c r="AI39" s="748" t="s">
        <v>230</v>
      </c>
      <c r="AJ39" s="748"/>
      <c r="AK39" s="749" t="s">
        <v>231</v>
      </c>
      <c r="AL39" s="749"/>
      <c r="AM39" s="749"/>
      <c r="AN39" s="749"/>
      <c r="AO39" s="746" t="s">
        <v>232</v>
      </c>
      <c r="AP39" s="746"/>
      <c r="AQ39" s="746"/>
      <c r="AR39" s="746"/>
      <c r="AU39" s="53" t="s">
        <v>229</v>
      </c>
      <c r="AV39" s="17" t="s">
        <v>127</v>
      </c>
      <c r="AW39" s="17">
        <v>1</v>
      </c>
      <c r="AX39" s="17" t="s">
        <v>128</v>
      </c>
      <c r="AY39" s="17" t="s">
        <v>233</v>
      </c>
      <c r="AZ39" s="157" t="s">
        <v>139</v>
      </c>
      <c r="BB39" s="144" t="s">
        <v>234</v>
      </c>
      <c r="BC39" s="145">
        <v>21.5</v>
      </c>
    </row>
    <row r="40" spans="1:55" ht="24.95" customHeight="1">
      <c r="A40" s="757"/>
      <c r="B40" s="95">
        <v>6</v>
      </c>
      <c r="C40" s="96" t="s">
        <v>235</v>
      </c>
      <c r="D40" s="96"/>
      <c r="E40" s="96"/>
      <c r="F40" s="96"/>
      <c r="G40" s="96"/>
      <c r="H40" s="96"/>
      <c r="I40" s="96"/>
      <c r="J40" s="96"/>
      <c r="K40" s="96"/>
      <c r="L40" s="96"/>
      <c r="M40" s="74"/>
      <c r="N40" s="3"/>
      <c r="O40" s="53" t="s">
        <v>236</v>
      </c>
      <c r="P40" s="3"/>
      <c r="Q40" s="356" t="s">
        <v>72</v>
      </c>
      <c r="R40" s="3"/>
      <c r="S40" s="3"/>
      <c r="T40" s="3"/>
      <c r="U40" s="3"/>
      <c r="V40" s="98" t="str">
        <f t="shared" si="21"/>
        <v>Ajouter l’eau gazeuse.</v>
      </c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H40" s="750"/>
      <c r="AI40" s="748"/>
      <c r="AJ40" s="748"/>
      <c r="AK40" s="749"/>
      <c r="AL40" s="749"/>
      <c r="AM40" s="749"/>
      <c r="AN40" s="749"/>
      <c r="AO40" s="746"/>
      <c r="AP40" s="746"/>
      <c r="AQ40" s="746"/>
      <c r="AR40" s="746"/>
      <c r="AU40" s="53" t="s">
        <v>236</v>
      </c>
      <c r="AV40" s="17" t="s">
        <v>127</v>
      </c>
      <c r="AW40" s="17">
        <v>1</v>
      </c>
      <c r="AX40" s="17" t="s">
        <v>128</v>
      </c>
      <c r="AY40" s="17" t="s">
        <v>237</v>
      </c>
      <c r="AZ40" s="157" t="s">
        <v>139</v>
      </c>
      <c r="BB40" s="144" t="s">
        <v>238</v>
      </c>
      <c r="BC40" s="145">
        <v>20</v>
      </c>
    </row>
    <row r="41" spans="1:55" ht="24.95" customHeight="1">
      <c r="A41" s="757"/>
      <c r="B41" s="95">
        <v>7</v>
      </c>
      <c r="C41" s="96" t="s">
        <v>239</v>
      </c>
      <c r="D41" s="96"/>
      <c r="E41" s="96"/>
      <c r="F41" s="96"/>
      <c r="G41" s="96"/>
      <c r="H41" s="96"/>
      <c r="I41" s="96"/>
      <c r="J41" s="96"/>
      <c r="K41" s="96"/>
      <c r="L41" s="96"/>
      <c r="M41" s="74"/>
      <c r="N41" s="3"/>
      <c r="O41" s="99" t="s">
        <v>240</v>
      </c>
      <c r="P41" s="3"/>
      <c r="Q41"/>
      <c r="R41" s="3"/>
      <c r="S41" s="3"/>
      <c r="T41" s="3"/>
      <c r="U41" s="3"/>
      <c r="V41" s="98" t="str">
        <f t="shared" si="21"/>
        <v>Mélanger avec régularité sans casser excessivement la glace.</v>
      </c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H41" s="747" t="s">
        <v>492</v>
      </c>
      <c r="AI41" s="748" t="s">
        <v>241</v>
      </c>
      <c r="AJ41" s="748"/>
      <c r="AK41" s="749" t="s">
        <v>242</v>
      </c>
      <c r="AL41" s="749"/>
      <c r="AM41" s="749"/>
      <c r="AN41" s="749"/>
      <c r="AO41" s="746" t="s">
        <v>243</v>
      </c>
      <c r="AP41" s="746"/>
      <c r="AQ41" s="746"/>
      <c r="AR41" s="746"/>
      <c r="AU41" s="39" t="s">
        <v>244</v>
      </c>
      <c r="AV41" s="17" t="s">
        <v>21</v>
      </c>
      <c r="AW41" s="17">
        <v>120</v>
      </c>
      <c r="AX41" s="17" t="s">
        <v>22</v>
      </c>
      <c r="AY41" s="17" t="s">
        <v>245</v>
      </c>
      <c r="AZ41" s="169" t="s">
        <v>246</v>
      </c>
      <c r="BB41" s="4"/>
      <c r="BC41" s="4"/>
    </row>
    <row r="42" spans="1:55" ht="24.95" customHeight="1">
      <c r="A42" s="757"/>
      <c r="B42" s="95">
        <v>8</v>
      </c>
      <c r="C42" s="96" t="s">
        <v>247</v>
      </c>
      <c r="D42" s="96"/>
      <c r="E42" s="96"/>
      <c r="F42" s="96"/>
      <c r="G42" s="96"/>
      <c r="H42" s="96"/>
      <c r="I42" s="96"/>
      <c r="J42" s="96"/>
      <c r="K42" s="96"/>
      <c r="L42" s="96"/>
      <c r="M42" s="74"/>
      <c r="N42" s="3"/>
      <c r="O42" s="100" t="s">
        <v>248</v>
      </c>
      <c r="P42" s="3"/>
      <c r="Q42" s="356" t="s">
        <v>602</v>
      </c>
      <c r="R42" s="3"/>
      <c r="S42" s="3"/>
      <c r="T42" s="3"/>
      <c r="U42" s="3"/>
      <c r="V42" s="98" t="str">
        <f t="shared" si="21"/>
        <v>Ajouter la garniture d’orange.</v>
      </c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H42" s="747"/>
      <c r="AI42" s="748"/>
      <c r="AJ42" s="748"/>
      <c r="AK42" s="749"/>
      <c r="AL42" s="749"/>
      <c r="AM42" s="749"/>
      <c r="AN42" s="749"/>
      <c r="AO42" s="746"/>
      <c r="AP42" s="746"/>
      <c r="AQ42" s="746"/>
      <c r="AR42" s="746"/>
      <c r="AU42" s="39" t="s">
        <v>249</v>
      </c>
      <c r="AV42" s="17" t="s">
        <v>21</v>
      </c>
      <c r="AW42" s="17">
        <v>350</v>
      </c>
      <c r="AX42" s="17" t="s">
        <v>22</v>
      </c>
      <c r="AY42" s="17" t="s">
        <v>250</v>
      </c>
      <c r="AZ42" s="169" t="s">
        <v>246</v>
      </c>
      <c r="BB42" s="4"/>
      <c r="BC42" s="4"/>
    </row>
    <row r="43" spans="1:55" ht="24.95" customHeight="1">
      <c r="A43" s="757"/>
      <c r="B43" s="101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  <c r="N43" s="3"/>
      <c r="O43" s="39" t="s">
        <v>251</v>
      </c>
      <c r="P43" s="3"/>
      <c r="Q43" s="183"/>
      <c r="R43" s="3"/>
      <c r="S43" s="3"/>
      <c r="T43" s="3"/>
      <c r="U43" s="3"/>
      <c r="V43" s="98" t="str">
        <f t="shared" si="21"/>
        <v>Contrôler le volume servi, la présentation et servir immédiatement.</v>
      </c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H43" s="750" t="s">
        <v>6993</v>
      </c>
      <c r="AI43" s="748" t="s">
        <v>252</v>
      </c>
      <c r="AJ43" s="748"/>
      <c r="AK43" s="749" t="s">
        <v>253</v>
      </c>
      <c r="AL43" s="749"/>
      <c r="AM43" s="749"/>
      <c r="AN43" s="749"/>
      <c r="AO43" s="746" t="s">
        <v>254</v>
      </c>
      <c r="AP43" s="746"/>
      <c r="AQ43" s="746"/>
      <c r="AR43" s="746"/>
      <c r="AU43" s="39" t="s">
        <v>255</v>
      </c>
      <c r="AV43" s="17" t="s">
        <v>21</v>
      </c>
      <c r="AW43" s="17">
        <v>250</v>
      </c>
      <c r="AX43" s="17" t="s">
        <v>22</v>
      </c>
      <c r="AY43" s="17" t="s">
        <v>256</v>
      </c>
      <c r="AZ43" s="170" t="s">
        <v>257</v>
      </c>
      <c r="BB43" s="4"/>
      <c r="BC43" s="4"/>
    </row>
    <row r="44" spans="1:55" ht="24.95" customHeight="1">
      <c r="A44" s="757"/>
      <c r="B44" s="10" t="s">
        <v>258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92"/>
      <c r="N44" s="3"/>
      <c r="O44" s="39" t="s">
        <v>255</v>
      </c>
      <c r="P44" s="3"/>
      <c r="Q44" s="356" t="s">
        <v>609</v>
      </c>
      <c r="R44" s="3"/>
      <c r="S44" s="3"/>
      <c r="T44" s="3"/>
      <c r="U44" s="3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H44" s="750"/>
      <c r="AI44" s="748"/>
      <c r="AJ44" s="748"/>
      <c r="AK44" s="749"/>
      <c r="AL44" s="749"/>
      <c r="AM44" s="749"/>
      <c r="AN44" s="749"/>
      <c r="AO44" s="746"/>
      <c r="AP44" s="746"/>
      <c r="AQ44" s="746"/>
      <c r="AR44" s="746"/>
      <c r="AU44" s="99" t="s">
        <v>240</v>
      </c>
      <c r="AV44" s="17" t="s">
        <v>21</v>
      </c>
      <c r="AW44" s="17">
        <v>30</v>
      </c>
      <c r="AX44" s="17" t="s">
        <v>22</v>
      </c>
      <c r="AY44" s="17" t="s">
        <v>240</v>
      </c>
      <c r="AZ44" s="170" t="s">
        <v>257</v>
      </c>
      <c r="BB44" s="4"/>
      <c r="BC44" s="4"/>
    </row>
    <row r="45" spans="1:55" ht="24.95" customHeight="1">
      <c r="A45" s="757"/>
      <c r="B45" s="102" t="s">
        <v>259</v>
      </c>
      <c r="C45" s="73" t="s">
        <v>83</v>
      </c>
      <c r="D45" s="73"/>
      <c r="E45" s="73"/>
      <c r="F45" s="73"/>
      <c r="G45" s="73"/>
      <c r="H45" s="73"/>
      <c r="I45" s="73"/>
      <c r="J45" s="73"/>
      <c r="K45" s="73"/>
      <c r="L45" s="73"/>
      <c r="M45" s="74"/>
      <c r="N45" s="3"/>
      <c r="O45" s="39" t="s">
        <v>244</v>
      </c>
      <c r="P45" s="3"/>
      <c r="R45" s="3"/>
      <c r="S45" s="3"/>
      <c r="T45" s="3"/>
      <c r="U45" s="3"/>
      <c r="V45" s="103" t="s">
        <v>260</v>
      </c>
      <c r="W45" s="103" t="s">
        <v>209</v>
      </c>
      <c r="X45" s="103"/>
      <c r="Y45" s="103"/>
      <c r="Z45" s="103"/>
      <c r="AA45" s="103"/>
      <c r="AB45" s="103"/>
      <c r="AC45" s="103"/>
      <c r="AD45" s="103"/>
      <c r="AE45" s="103"/>
      <c r="AF45" s="103"/>
      <c r="AH45" s="171" t="s">
        <v>261</v>
      </c>
      <c r="AI45" s="172"/>
      <c r="AJ45" s="165"/>
      <c r="AK45" s="165"/>
      <c r="AL45" s="165"/>
      <c r="AM45" s="165"/>
      <c r="AN45" s="165"/>
      <c r="AO45" s="165"/>
      <c r="AP45" s="165"/>
      <c r="AQ45" s="165"/>
      <c r="AR45" s="165"/>
      <c r="AU45" s="100" t="s">
        <v>248</v>
      </c>
      <c r="AV45" s="17" t="s">
        <v>21</v>
      </c>
      <c r="AW45" s="17">
        <v>90</v>
      </c>
      <c r="AX45" s="17" t="s">
        <v>22</v>
      </c>
      <c r="AY45" s="17" t="s">
        <v>248</v>
      </c>
      <c r="AZ45" s="170" t="s">
        <v>257</v>
      </c>
      <c r="BB45" s="4"/>
      <c r="BC45" s="4"/>
    </row>
    <row r="46" spans="1:55" ht="24.95" customHeight="1">
      <c r="A46" s="757"/>
      <c r="B46" s="102" t="s">
        <v>262</v>
      </c>
      <c r="C46" s="73" t="s">
        <v>263</v>
      </c>
      <c r="D46" s="73"/>
      <c r="E46" s="73"/>
      <c r="F46" s="73"/>
      <c r="G46" s="73"/>
      <c r="H46" s="73"/>
      <c r="I46" s="73"/>
      <c r="J46" s="73"/>
      <c r="K46" s="73"/>
      <c r="L46" s="73"/>
      <c r="M46" s="74"/>
      <c r="N46" s="3"/>
      <c r="O46" s="39" t="s">
        <v>24</v>
      </c>
      <c r="P46" s="3"/>
      <c r="Q46" s="3"/>
      <c r="R46" s="3"/>
      <c r="S46" s="3"/>
      <c r="T46" s="3"/>
      <c r="U46" s="3"/>
      <c r="V46" s="98" t="str">
        <f>IF(C45="","",C45)</f>
        <v>Tumbler (Old Fashioned)</v>
      </c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H46" s="172" t="s">
        <v>264</v>
      </c>
      <c r="AI46" s="172"/>
      <c r="AJ46" s="165"/>
      <c r="AK46" s="172"/>
      <c r="AL46" s="165"/>
      <c r="AM46" s="165"/>
      <c r="AN46" s="165"/>
      <c r="AO46" s="172"/>
      <c r="AP46" s="165"/>
      <c r="AQ46" s="165"/>
      <c r="AR46" s="165"/>
      <c r="AU46" s="39" t="s">
        <v>265</v>
      </c>
      <c r="AV46" s="17" t="s">
        <v>21</v>
      </c>
      <c r="AW46" s="17">
        <v>250</v>
      </c>
      <c r="AX46" s="17" t="s">
        <v>22</v>
      </c>
      <c r="AY46" s="17" t="s">
        <v>266</v>
      </c>
      <c r="AZ46" s="170" t="s">
        <v>257</v>
      </c>
      <c r="BB46" s="4"/>
      <c r="BC46" s="4"/>
    </row>
    <row r="47" spans="1:55" ht="24.95" customHeight="1">
      <c r="A47" s="757"/>
      <c r="B47" s="104" t="s">
        <v>267</v>
      </c>
      <c r="C47" s="105" t="s">
        <v>124</v>
      </c>
      <c r="D47" s="73"/>
      <c r="E47" s="73"/>
      <c r="F47" s="73"/>
      <c r="G47" s="73"/>
      <c r="H47" s="73"/>
      <c r="I47" s="73"/>
      <c r="J47" s="73"/>
      <c r="K47" s="73"/>
      <c r="L47" s="73"/>
      <c r="M47" s="74"/>
      <c r="N47" s="3"/>
      <c r="O47" s="39" t="s">
        <v>268</v>
      </c>
      <c r="P47" s="3"/>
      <c r="Q47" s="3"/>
      <c r="R47" s="3"/>
      <c r="S47" s="3"/>
      <c r="T47" s="3"/>
      <c r="U47" s="3"/>
      <c r="V47" s="98" t="str">
        <f>IF(C46="","",C46)</f>
        <v>Doseur / jigger ; cuillère à mélange ; bec verseur ; pince à glaçons</v>
      </c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H47" s="172" t="s">
        <v>269</v>
      </c>
      <c r="AI47" s="172"/>
      <c r="AJ47" s="173"/>
      <c r="AK47" s="173"/>
      <c r="AL47" s="165"/>
      <c r="AM47" s="165"/>
      <c r="AN47" s="165"/>
      <c r="AO47" s="165"/>
      <c r="AP47" s="165"/>
      <c r="AQ47" s="165"/>
      <c r="AR47" s="165"/>
      <c r="AU47" s="39" t="s">
        <v>270</v>
      </c>
      <c r="AV47" s="17" t="s">
        <v>21</v>
      </c>
      <c r="AW47" s="17">
        <v>75</v>
      </c>
      <c r="AX47" s="17" t="s">
        <v>22</v>
      </c>
      <c r="AY47" s="17" t="s">
        <v>271</v>
      </c>
      <c r="AZ47" s="170" t="s">
        <v>257</v>
      </c>
      <c r="BB47" s="4"/>
      <c r="BC47" s="4"/>
    </row>
    <row r="48" spans="1:55" ht="24.95" customHeight="1">
      <c r="A48" s="758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7" t="s">
        <v>272</v>
      </c>
      <c r="N48" s="3"/>
      <c r="O48" s="39" t="s">
        <v>273</v>
      </c>
      <c r="P48" s="3"/>
      <c r="Q48" s="3"/>
      <c r="R48" s="3"/>
      <c r="S48" s="3"/>
      <c r="T48" s="3"/>
      <c r="U48" s="3"/>
      <c r="V48" s="98" t="str">
        <f>IF(C47="","",C47)</f>
        <v>https://www.destinationcocktails.fr/recette/americano-cocktail/</v>
      </c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H48" s="168" t="s">
        <v>274</v>
      </c>
      <c r="AI48" s="165"/>
      <c r="AJ48" s="173"/>
      <c r="AK48" s="173"/>
      <c r="AL48" s="165"/>
      <c r="AM48" s="165"/>
      <c r="AN48" s="165"/>
      <c r="AO48" s="165"/>
      <c r="AP48" s="165"/>
      <c r="AQ48" s="165"/>
      <c r="AR48" s="165"/>
      <c r="AU48" s="39" t="s">
        <v>24</v>
      </c>
      <c r="AV48" s="17" t="s">
        <v>21</v>
      </c>
      <c r="AW48" s="17">
        <v>350</v>
      </c>
      <c r="AX48" s="17" t="s">
        <v>22</v>
      </c>
      <c r="AY48" s="17" t="s">
        <v>275</v>
      </c>
      <c r="AZ48" s="174" t="s">
        <v>276</v>
      </c>
      <c r="BB48" s="4"/>
      <c r="BC48" s="4"/>
    </row>
    <row r="49" spans="1:55" ht="24.95" customHeight="1">
      <c r="N49" s="3"/>
      <c r="O49" s="39" t="s">
        <v>29</v>
      </c>
      <c r="P49" s="3"/>
      <c r="Q49" s="3"/>
      <c r="R49" s="3"/>
      <c r="S49" s="3"/>
      <c r="T49" s="3"/>
      <c r="U49" s="3"/>
      <c r="V49" s="108" t="s">
        <v>277</v>
      </c>
      <c r="W49" s="108"/>
      <c r="X49" s="108"/>
      <c r="Y49" s="108"/>
      <c r="Z49" s="108"/>
      <c r="AA49" s="108"/>
      <c r="AB49" s="108"/>
      <c r="AC49" s="108"/>
      <c r="AD49" s="108"/>
      <c r="AE49" s="108"/>
      <c r="AF49" s="109" t="s">
        <v>277</v>
      </c>
      <c r="AH49" s="168" t="s">
        <v>278</v>
      </c>
      <c r="AI49" s="172"/>
      <c r="AJ49" s="173"/>
      <c r="AK49" s="173"/>
      <c r="AL49" s="165"/>
      <c r="AM49" s="165"/>
      <c r="AN49" s="165"/>
      <c r="AO49" s="165"/>
      <c r="AP49" s="165"/>
      <c r="AQ49" s="165"/>
      <c r="AR49" s="165"/>
      <c r="AU49" s="39" t="s">
        <v>33</v>
      </c>
      <c r="AV49" s="17" t="s">
        <v>21</v>
      </c>
      <c r="AW49" s="17">
        <v>400</v>
      </c>
      <c r="AX49" s="17" t="s">
        <v>22</v>
      </c>
      <c r="AY49" s="17" t="s">
        <v>279</v>
      </c>
      <c r="AZ49" s="174" t="s">
        <v>276</v>
      </c>
      <c r="BB49" s="4"/>
      <c r="BC49" s="4"/>
    </row>
    <row r="50" spans="1:55" ht="24.95" customHeight="1">
      <c r="A50" s="715"/>
      <c r="B50" s="716"/>
      <c r="C50" s="716"/>
      <c r="D50" s="716"/>
      <c r="E50" s="716"/>
      <c r="F50" s="716"/>
      <c r="G50" s="716"/>
      <c r="H50" s="716"/>
      <c r="I50" s="716"/>
      <c r="J50" s="716"/>
      <c r="K50" s="716"/>
      <c r="L50" s="716"/>
      <c r="M50" s="716"/>
      <c r="N50" s="717"/>
      <c r="O50" s="39" t="s">
        <v>280</v>
      </c>
      <c r="P50" s="717"/>
      <c r="Q50" s="3"/>
      <c r="R50" s="3"/>
      <c r="S50" s="3"/>
      <c r="T50" s="3"/>
      <c r="U50" s="719"/>
      <c r="V50" s="761"/>
      <c r="W50" s="761"/>
      <c r="X50" s="761"/>
      <c r="Y50" s="720"/>
      <c r="Z50" s="721"/>
      <c r="AA50" s="721"/>
      <c r="AB50" s="721"/>
      <c r="AC50" s="721"/>
      <c r="AD50" s="721"/>
      <c r="AE50" s="721"/>
      <c r="AF50" s="721"/>
      <c r="AG50" s="719"/>
      <c r="AH50" s="718"/>
      <c r="AI50" s="718"/>
      <c r="AJ50" s="718"/>
      <c r="AK50" s="718"/>
      <c r="AL50" s="718"/>
      <c r="AM50" s="722"/>
      <c r="AN50" s="722"/>
      <c r="AO50" s="722"/>
      <c r="AP50" s="722"/>
      <c r="AQ50" s="722"/>
      <c r="AR50" s="722"/>
      <c r="AS50" s="722"/>
      <c r="AU50" s="39" t="s">
        <v>40</v>
      </c>
      <c r="AV50" s="17" t="s">
        <v>21</v>
      </c>
      <c r="AW50" s="17">
        <v>180</v>
      </c>
      <c r="AX50" s="17" t="s">
        <v>22</v>
      </c>
      <c r="AY50" s="17" t="s">
        <v>282</v>
      </c>
      <c r="AZ50" s="174" t="s">
        <v>276</v>
      </c>
      <c r="BB50" s="4"/>
      <c r="BC50" s="4"/>
    </row>
    <row r="51" spans="1:55" ht="24.95" customHeight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9" t="s">
        <v>283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U51" s="39" t="s">
        <v>43</v>
      </c>
      <c r="AV51" s="17" t="s">
        <v>21</v>
      </c>
      <c r="AW51" s="17">
        <v>240</v>
      </c>
      <c r="AX51" s="17" t="s">
        <v>22</v>
      </c>
      <c r="AY51" s="17" t="s">
        <v>287</v>
      </c>
      <c r="AZ51" s="174" t="s">
        <v>276</v>
      </c>
      <c r="BB51" s="4"/>
      <c r="BC51" s="4"/>
    </row>
    <row r="52" spans="1:55" ht="24.95" customHeight="1">
      <c r="A52" s="149" t="s">
        <v>59</v>
      </c>
      <c r="B52" s="711" t="s">
        <v>60</v>
      </c>
      <c r="C52" s="711"/>
      <c r="D52" s="711"/>
      <c r="E52" s="711"/>
      <c r="F52" s="711"/>
      <c r="G52" s="711"/>
      <c r="H52" s="711"/>
      <c r="I52" s="711"/>
      <c r="J52" s="711"/>
      <c r="K52" s="711"/>
      <c r="L52" s="711"/>
      <c r="M52" s="711"/>
      <c r="N52" s="3"/>
      <c r="O52" s="39" t="s">
        <v>33</v>
      </c>
      <c r="P52" s="3"/>
      <c r="Q52" s="10" t="s">
        <v>61</v>
      </c>
      <c r="R52" s="10"/>
      <c r="S52" s="10"/>
      <c r="T52" s="10"/>
      <c r="V52" s="861" t="s">
        <v>62</v>
      </c>
      <c r="W52" s="861"/>
      <c r="X52" s="861"/>
      <c r="Y52" s="23" t="s">
        <v>63</v>
      </c>
      <c r="Z52" s="24"/>
      <c r="AA52" s="24"/>
      <c r="AB52" s="24"/>
      <c r="AC52" s="24"/>
      <c r="AD52" s="24"/>
      <c r="AE52" s="24"/>
      <c r="AF52" s="24"/>
      <c r="AH52" s="25" t="s">
        <v>64</v>
      </c>
      <c r="AI52" s="25"/>
      <c r="AJ52" s="25" t="s">
        <v>65</v>
      </c>
      <c r="AK52" s="25"/>
      <c r="AL52" s="25"/>
      <c r="AM52" s="26"/>
      <c r="AN52" s="26"/>
      <c r="AO52" s="26"/>
      <c r="AP52" s="26"/>
      <c r="AQ52" s="26"/>
      <c r="AR52" s="26"/>
      <c r="AS52" s="26"/>
      <c r="AU52" s="39" t="s">
        <v>46</v>
      </c>
      <c r="AV52" s="17" t="s">
        <v>21</v>
      </c>
      <c r="AW52" s="17">
        <v>240</v>
      </c>
      <c r="AX52" s="17" t="s">
        <v>22</v>
      </c>
      <c r="AY52" s="17" t="s">
        <v>290</v>
      </c>
      <c r="AZ52" s="174" t="s">
        <v>276</v>
      </c>
      <c r="BB52" s="4"/>
      <c r="BC52" s="4"/>
    </row>
    <row r="53" spans="1:55" ht="24.95" customHeight="1">
      <c r="A53" s="712"/>
      <c r="B53" s="27" t="s">
        <v>67</v>
      </c>
      <c r="C53" s="28" t="s">
        <v>7257</v>
      </c>
      <c r="D53" s="28"/>
      <c r="E53" s="27" t="s">
        <v>69</v>
      </c>
      <c r="F53" s="355" t="s">
        <v>558</v>
      </c>
      <c r="G53" s="30"/>
      <c r="H53" s="27" t="s">
        <v>71</v>
      </c>
      <c r="I53" s="356" t="s">
        <v>564</v>
      </c>
      <c r="J53" s="30"/>
      <c r="K53" s="27" t="s">
        <v>73</v>
      </c>
      <c r="L53" s="32" t="s">
        <v>6669</v>
      </c>
      <c r="M53" s="33"/>
      <c r="N53" s="3"/>
      <c r="O53" s="39" t="s">
        <v>40</v>
      </c>
      <c r="P53" s="3"/>
      <c r="Q53" s="14" t="s">
        <v>27</v>
      </c>
      <c r="R53" s="35">
        <v>10</v>
      </c>
      <c r="S53" s="15" t="s">
        <v>76</v>
      </c>
      <c r="T53" s="15"/>
      <c r="V53" s="831" t="s">
        <v>77</v>
      </c>
      <c r="W53" s="862" t="str">
        <f>C53</f>
        <v>NOM DU COCKTAIL N°2</v>
      </c>
      <c r="X53" s="862"/>
      <c r="Y53" s="862"/>
      <c r="Z53" s="36" t="s">
        <v>78</v>
      </c>
      <c r="AA53" s="24" t="str">
        <f>F53</f>
        <v>Avec ou sans Alcool</v>
      </c>
      <c r="AB53" s="24"/>
      <c r="AC53" s="831" t="s">
        <v>71</v>
      </c>
      <c r="AD53" s="37" t="str">
        <f>I53</f>
        <v xml:space="preserve">Quand </v>
      </c>
      <c r="AE53" s="831" t="s">
        <v>73</v>
      </c>
      <c r="AF53" s="24" t="str">
        <f>L53</f>
        <v>TYPE DE COCKTAIL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U53" s="39" t="s">
        <v>49</v>
      </c>
      <c r="AV53" s="17" t="s">
        <v>21</v>
      </c>
      <c r="AW53" s="17">
        <v>180</v>
      </c>
      <c r="AX53" s="17" t="s">
        <v>22</v>
      </c>
      <c r="AY53" s="17" t="s">
        <v>293</v>
      </c>
      <c r="AZ53" s="174" t="s">
        <v>276</v>
      </c>
      <c r="BB53" s="4"/>
      <c r="BC53" s="4"/>
    </row>
    <row r="54" spans="1:55" ht="24.95" customHeight="1">
      <c r="A54" s="712"/>
      <c r="B54" s="27" t="s">
        <v>80</v>
      </c>
      <c r="C54" s="38" t="s">
        <v>561</v>
      </c>
      <c r="D54" s="30"/>
      <c r="E54" s="27" t="s">
        <v>82</v>
      </c>
      <c r="F54" s="39" t="s">
        <v>83</v>
      </c>
      <c r="G54" s="30"/>
      <c r="H54" s="27" t="s">
        <v>84</v>
      </c>
      <c r="I54" s="40">
        <v>1</v>
      </c>
      <c r="J54" s="41" t="s">
        <v>83</v>
      </c>
      <c r="K54" s="41"/>
      <c r="L54" s="42" t="s">
        <v>76</v>
      </c>
      <c r="M54" s="33"/>
      <c r="N54" s="3"/>
      <c r="O54" s="39" t="s">
        <v>43</v>
      </c>
      <c r="Q54" s="14" t="s">
        <v>31</v>
      </c>
      <c r="R54" s="35"/>
      <c r="S54" s="15" t="s">
        <v>86</v>
      </c>
      <c r="T54" s="15"/>
      <c r="V54" s="44" t="s">
        <v>87</v>
      </c>
      <c r="W54" s="150" t="str">
        <f>R58</f>
        <v/>
      </c>
      <c r="X54" s="43" t="s">
        <v>88</v>
      </c>
      <c r="Y54" s="43"/>
      <c r="Z54" s="44" t="s">
        <v>89</v>
      </c>
      <c r="AA54" s="45">
        <f>R60</f>
        <v>0</v>
      </c>
      <c r="AB54" s="46" t="s">
        <v>90</v>
      </c>
      <c r="AC54" s="44" t="s">
        <v>91</v>
      </c>
      <c r="AD54" s="45">
        <f>R55</f>
        <v>10</v>
      </c>
      <c r="AE54" s="47" t="s">
        <v>92</v>
      </c>
      <c r="AF54" s="43" t="str">
        <f>R62</f>
        <v>NOMBRE DE COCKTAILS</v>
      </c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U54" s="39" t="s">
        <v>53</v>
      </c>
      <c r="AV54" s="17" t="s">
        <v>21</v>
      </c>
      <c r="AW54" s="17">
        <v>120</v>
      </c>
      <c r="AX54" s="17" t="s">
        <v>22</v>
      </c>
      <c r="AY54" s="17" t="s">
        <v>296</v>
      </c>
      <c r="AZ54" s="174" t="s">
        <v>276</v>
      </c>
      <c r="BB54" s="4"/>
      <c r="BC54" s="4"/>
    </row>
    <row r="55" spans="1:55" ht="24.95" customHeight="1">
      <c r="A55" s="712"/>
      <c r="B55" s="27" t="s">
        <v>94</v>
      </c>
      <c r="C55" s="151" t="s">
        <v>6670</v>
      </c>
      <c r="D55" s="30"/>
      <c r="E55" s="30"/>
      <c r="F55" s="30"/>
      <c r="G55" s="30"/>
      <c r="H55" s="27" t="s">
        <v>96</v>
      </c>
      <c r="I55" s="48">
        <v>15</v>
      </c>
      <c r="J55" s="152" t="s">
        <v>32</v>
      </c>
      <c r="K55" s="30"/>
      <c r="L55" s="30"/>
      <c r="M55" s="33"/>
      <c r="N55" s="3"/>
      <c r="O55" s="39" t="s">
        <v>46</v>
      </c>
      <c r="Q55" s="14" t="s">
        <v>98</v>
      </c>
      <c r="R55" s="49">
        <f>IF(AND(ISNUMBER(R54),R54&gt;0),IFERROR(R54*1000/R56,0),IF(AND(ISNUMBER(R53),R53&gt;0,ISNUMBER(I54),I54&gt;0),R53/I54,1))</f>
        <v>10</v>
      </c>
      <c r="S55" s="50" t="s">
        <v>99</v>
      </c>
      <c r="T55" s="50"/>
      <c r="V55" s="44" t="s">
        <v>100</v>
      </c>
      <c r="W55" s="51">
        <f>IF(R56="","",R56/10)</f>
        <v>0</v>
      </c>
      <c r="X55" s="46" t="s">
        <v>32</v>
      </c>
      <c r="Y55" s="43"/>
      <c r="Z55" s="44" t="s">
        <v>101</v>
      </c>
      <c r="AA55" s="45" t="str">
        <f>R57</f>
        <v/>
      </c>
      <c r="AB55" s="46" t="s">
        <v>32</v>
      </c>
      <c r="AC55" s="44" t="s">
        <v>102</v>
      </c>
      <c r="AD55" s="45">
        <f>R61</f>
        <v>10</v>
      </c>
      <c r="AE55" s="51"/>
      <c r="AF55" s="4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U55" s="39" t="s">
        <v>58</v>
      </c>
      <c r="AV55" s="17" t="s">
        <v>21</v>
      </c>
      <c r="AW55" s="17">
        <v>200</v>
      </c>
      <c r="AX55" s="17" t="s">
        <v>22</v>
      </c>
      <c r="AY55" s="17" t="s">
        <v>58</v>
      </c>
      <c r="AZ55" s="174" t="s">
        <v>276</v>
      </c>
      <c r="BB55" s="4"/>
      <c r="BC55" s="4"/>
    </row>
    <row r="56" spans="1:55" ht="24.95" customHeight="1">
      <c r="A56" s="712"/>
      <c r="B56" s="27"/>
      <c r="C56" s="52" t="str">
        <f>UPPER(LEFT(C53,1)) &amp; " . " &amp; UPPER(LEFT(C53,1)) &amp; LOWER(MID(C53,2,999)) &amp; " . " &amp; UPPER(LEFT(F53,1)) &amp; LOWER(MID(F53,2,999)) &amp; " . " &amp; UPPER(LEFT(I53,1)) &amp; LOWER(MID(I53,2,999)) &amp; " . " &amp; "Verre " &amp; UPPER(LEFT(F54,1)) &amp; LOWER(MID(F54,2,999)) &amp; IF(LEFT(L53,1)=UPPER(LEFT(L53,1)),".","") &amp; UPPER(LEFT(L53,1)) &amp; LOWER(MID(L53,2,999))&amp;"  couleur"&amp;" "&amp;C54&amp;"  intensité"&amp;" "&amp;C55</f>
        <v>N . Nom du cocktail n°2 . Avec ou sans alcool . Quand  . Verre Tumbler (old fashioned).Type de cocktail  couleur Couleur dominante à coller  intensité ****  précisez</v>
      </c>
      <c r="D56" s="52"/>
      <c r="E56" s="52"/>
      <c r="F56" s="52"/>
      <c r="G56" s="52"/>
      <c r="H56" s="52"/>
      <c r="I56" s="52"/>
      <c r="J56" s="52"/>
      <c r="K56" s="52"/>
      <c r="L56" s="30"/>
      <c r="M56" s="33"/>
      <c r="N56" s="3"/>
      <c r="O56" s="39" t="s">
        <v>299</v>
      </c>
      <c r="Q56" s="14" t="s">
        <v>105</v>
      </c>
      <c r="R56" s="49">
        <f>SUMIF(AJ63:AJ69,"VOLUME",AL63:AL69)</f>
        <v>0</v>
      </c>
      <c r="S56" s="50" t="s">
        <v>22</v>
      </c>
      <c r="T56" s="50"/>
      <c r="V56" s="44" t="s">
        <v>96</v>
      </c>
      <c r="W56" s="51">
        <f>I55</f>
        <v>15</v>
      </c>
      <c r="X56" s="46" t="str">
        <f>J55</f>
        <v>cl</v>
      </c>
      <c r="Y56" s="43"/>
      <c r="Z56" s="44" t="s">
        <v>82</v>
      </c>
      <c r="AA56" s="54" t="str">
        <f>F54</f>
        <v>Tumbler (Old Fashioned)</v>
      </c>
      <c r="AB56" s="43"/>
      <c r="AC56" s="44" t="s">
        <v>106</v>
      </c>
      <c r="AD56" s="45">
        <f>R63</f>
        <v>25</v>
      </c>
      <c r="AE56" s="46" t="s">
        <v>32</v>
      </c>
      <c r="AF56" s="4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U56" s="39" t="s">
        <v>79</v>
      </c>
      <c r="AV56" s="17" t="s">
        <v>21</v>
      </c>
      <c r="AW56" s="17">
        <v>400</v>
      </c>
      <c r="AX56" s="17" t="s">
        <v>22</v>
      </c>
      <c r="AY56" s="17" t="s">
        <v>301</v>
      </c>
      <c r="AZ56" s="174" t="s">
        <v>276</v>
      </c>
      <c r="BB56" s="4"/>
      <c r="BC56" s="4"/>
    </row>
    <row r="57" spans="1:55" ht="24.95" customHeight="1">
      <c r="A57" s="712"/>
      <c r="B57" s="27" t="s">
        <v>110</v>
      </c>
      <c r="C57" s="55" t="s">
        <v>579</v>
      </c>
      <c r="D57" s="55"/>
      <c r="E57" s="154"/>
      <c r="F57" s="154"/>
      <c r="G57" s="154"/>
      <c r="H57" s="154"/>
      <c r="I57" s="154"/>
      <c r="J57" s="154"/>
      <c r="K57" s="154"/>
      <c r="L57" s="30"/>
      <c r="M57" s="33"/>
      <c r="N57" s="3"/>
      <c r="O57" s="39" t="s">
        <v>302</v>
      </c>
      <c r="Q57" s="14" t="s">
        <v>113</v>
      </c>
      <c r="R57" s="49" t="str">
        <f>IF(OR(R56=0,NOT(ISNUMBER(I54)),I54&lt;=0),"",R56/I54/10)</f>
        <v/>
      </c>
      <c r="S57" s="50" t="s">
        <v>32</v>
      </c>
      <c r="T57" s="50"/>
      <c r="V57" s="44" t="s">
        <v>114</v>
      </c>
      <c r="W57" s="51" t="str">
        <f>IF(I55="","",IF(R63="","⚠ À CONTRÔLER",IF(I55&lt;=R63,"✔ OK","❌ DÉPASSE CAPACITÉ")))</f>
        <v>✔ OK</v>
      </c>
      <c r="X57" s="43"/>
      <c r="Y57" s="43"/>
      <c r="Z57" s="44"/>
      <c r="AA57" s="56"/>
      <c r="AB57" s="43"/>
      <c r="AC57" s="43"/>
      <c r="AD57" s="46"/>
      <c r="AE57" s="46"/>
      <c r="AF57" s="4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U57" s="39" t="s">
        <v>109</v>
      </c>
      <c r="AV57" s="17" t="s">
        <v>21</v>
      </c>
      <c r="AW57" s="17">
        <v>240</v>
      </c>
      <c r="AX57" s="17" t="s">
        <v>22</v>
      </c>
      <c r="AY57" s="17" t="s">
        <v>304</v>
      </c>
      <c r="AZ57" s="174" t="s">
        <v>276</v>
      </c>
      <c r="BB57" s="4"/>
      <c r="BC57" s="4"/>
    </row>
    <row r="58" spans="1:55" ht="24.95" customHeight="1">
      <c r="A58" s="712"/>
      <c r="B58" s="30"/>
      <c r="C58" s="30"/>
      <c r="D58" s="30"/>
      <c r="E58" s="30"/>
      <c r="F58" s="30"/>
      <c r="G58" s="30"/>
      <c r="H58" s="206"/>
      <c r="I58" s="30"/>
      <c r="J58" s="30"/>
      <c r="K58" s="30"/>
      <c r="L58" s="30"/>
      <c r="M58" s="33"/>
      <c r="N58" s="3"/>
      <c r="O58" s="39" t="s">
        <v>305</v>
      </c>
      <c r="Q58" s="14" t="s">
        <v>118</v>
      </c>
      <c r="R58" s="155" t="str">
        <f>IF(AN70=0,"",SUM(AQ63:AQ69)/AN70*100)</f>
        <v/>
      </c>
      <c r="S58" s="50" t="s">
        <v>88</v>
      </c>
      <c r="T58" s="50"/>
      <c r="V58" s="44" t="s">
        <v>110</v>
      </c>
      <c r="W58" s="46" t="str">
        <f>C57</f>
        <v>Description</v>
      </c>
      <c r="X58" s="43"/>
      <c r="Y58" s="43"/>
      <c r="Z58" s="44"/>
      <c r="AA58" s="56"/>
      <c r="AB58" s="43"/>
      <c r="AC58" s="43"/>
      <c r="AD58" s="46"/>
      <c r="AE58" s="46"/>
      <c r="AF58" s="4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U58" s="39" t="s">
        <v>120</v>
      </c>
      <c r="AV58" s="17" t="s">
        <v>21</v>
      </c>
      <c r="AW58" s="17">
        <v>500</v>
      </c>
      <c r="AX58" s="17" t="s">
        <v>22</v>
      </c>
      <c r="AY58" s="17" t="s">
        <v>120</v>
      </c>
      <c r="AZ58" s="174" t="s">
        <v>276</v>
      </c>
      <c r="BB58" s="4"/>
      <c r="BC58" s="4"/>
    </row>
    <row r="59" spans="1:55" ht="24.95" customHeight="1">
      <c r="A59" s="712"/>
      <c r="B59" s="57" t="s">
        <v>121</v>
      </c>
      <c r="C59" s="58" t="s">
        <v>568</v>
      </c>
      <c r="D59" s="58"/>
      <c r="E59" s="59"/>
      <c r="F59" s="57" t="s">
        <v>123</v>
      </c>
      <c r="G59" s="58"/>
      <c r="H59" s="60"/>
      <c r="I59" s="60"/>
      <c r="J59" s="61"/>
      <c r="K59" s="61"/>
      <c r="L59" s="61"/>
      <c r="M59" s="62"/>
      <c r="N59" s="3"/>
      <c r="O59" s="39" t="s">
        <v>307</v>
      </c>
      <c r="Q59" s="14" t="s">
        <v>126</v>
      </c>
      <c r="R59" s="156">
        <f>SUM(AR63:AR69)</f>
        <v>0</v>
      </c>
      <c r="S59" s="50" t="s">
        <v>90</v>
      </c>
      <c r="T59" s="50"/>
      <c r="V59" s="44" t="s">
        <v>121</v>
      </c>
      <c r="W59" s="46" t="str">
        <f>C59</f>
        <v>VOUS</v>
      </c>
      <c r="X59" s="43"/>
      <c r="Y59" s="43"/>
      <c r="Z59" s="44" t="s">
        <v>94</v>
      </c>
      <c r="AA59" s="54" t="str">
        <f>C55</f>
        <v>****  précisez</v>
      </c>
      <c r="AB59" s="43"/>
      <c r="AC59" s="759" t="str">
        <f>UPPER(LEFT(C53,1))&amp;" . "&amp;UPPER(LEFT(C53,1))&amp;LOWER(MID(C53,2,999))&amp;" . "&amp;UPPER(LEFT(F53,1))&amp;LOWER(MID(F53,2,999))&amp;" . "&amp;UPPER(LEFT(I53,1))&amp;LOWER(MID(I53,2,999))&amp;" . "&amp;"Verre "&amp;UPPER(LEFT(F54,1))&amp;LOWER(MID(F54,2,999))&amp;IF(LEFT(L53,1)=UPPER(LEFT(L53,1)),".","")&amp;UPPER(LEFT(L53,1))&amp;LOWER(MID(L53,2,999))&amp;"  couleur "&amp;C54&amp;"  intensité "&amp;C55</f>
        <v>N . Nom du cocktail n°2 . Avec ou sans alcool . Quand  . Verre Tumbler (old fashioned).Type de cocktail  couleur Couleur dominante à coller  intensité ****  précisez</v>
      </c>
      <c r="AD59" s="759"/>
      <c r="AE59" s="759"/>
      <c r="AF59" s="759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U59" s="39" t="s">
        <v>130</v>
      </c>
      <c r="AV59" s="17" t="s">
        <v>21</v>
      </c>
      <c r="AW59" s="17">
        <v>215</v>
      </c>
      <c r="AX59" s="17" t="s">
        <v>22</v>
      </c>
      <c r="AY59" s="17" t="s">
        <v>309</v>
      </c>
      <c r="AZ59" s="174" t="s">
        <v>276</v>
      </c>
      <c r="BB59" s="4"/>
      <c r="BC59" s="4"/>
    </row>
    <row r="60" spans="1:55" ht="24.95" customHeight="1">
      <c r="A60" s="712"/>
      <c r="B60" s="10" t="s">
        <v>131</v>
      </c>
      <c r="C60" s="10" t="s">
        <v>132</v>
      </c>
      <c r="D60" s="10"/>
      <c r="E60" s="10"/>
      <c r="F60" s="10"/>
      <c r="G60" s="10"/>
      <c r="H60" s="10"/>
      <c r="I60" s="10"/>
      <c r="J60" s="11" t="str">
        <f>IF(COUNTIF(C62:C68,"*~**")+COUNTIF(C62:C68,"*~?*")=0,"",IF(COUNTIF(C62:C68,"*~**")&gt;0,COUNTIF(C62:C68,"*~**")&amp;" allergène"&amp;IF(COUNTIF(C62:C68,"*~**")&gt;1,"s","")&amp;" repéré"&amp;IF(COUNTIF(C62:C68,"*~**")&gt;1,"s","")&amp;" par *","")&amp;IF(AND(COUNTIF(C62:C68,"*~**")&gt;0,COUNTIF(C62:C68,"*~?*")&gt;0)," | ","")&amp;IF(COUNTIF(C62:C68,"*~?*")&gt;0,COUNTIF(C62:C68,"*~?*")&amp;" produit"&amp;IF(COUNTIF(C62:C68,"*~?*")&gt;1,"s","")&amp;" à vérifier par ?",""))</f>
        <v/>
      </c>
      <c r="K60" s="10"/>
      <c r="L60" s="10"/>
      <c r="M60" s="63"/>
      <c r="N60" s="3"/>
      <c r="O60" s="39" t="s">
        <v>310</v>
      </c>
      <c r="Q60" s="14" t="s">
        <v>134</v>
      </c>
      <c r="R60" s="156">
        <f>IF(OR(R59="",R61="",R61=0),"",R59/R61)</f>
        <v>0</v>
      </c>
      <c r="S60" s="50" t="s">
        <v>135</v>
      </c>
      <c r="T60" s="50"/>
      <c r="V60" s="852" t="s">
        <v>136</v>
      </c>
      <c r="W60" s="853">
        <f>R59</f>
        <v>0</v>
      </c>
      <c r="X60" s="854" t="s">
        <v>90</v>
      </c>
      <c r="Y60" s="43"/>
      <c r="Z60" s="44" t="s">
        <v>137</v>
      </c>
      <c r="AA60" s="54" t="str">
        <f>C53</f>
        <v>NOM DU COCKTAIL N°2</v>
      </c>
      <c r="AB60" s="43"/>
      <c r="AC60" s="759"/>
      <c r="AD60" s="759"/>
      <c r="AE60" s="759"/>
      <c r="AF60" s="759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U60" s="39" t="s">
        <v>140</v>
      </c>
      <c r="AV60" s="17" t="s">
        <v>21</v>
      </c>
      <c r="AW60" s="17">
        <v>200</v>
      </c>
      <c r="AX60" s="17" t="s">
        <v>22</v>
      </c>
      <c r="AY60" s="17" t="s">
        <v>312</v>
      </c>
      <c r="AZ60" s="174" t="s">
        <v>276</v>
      </c>
      <c r="BB60" s="4"/>
      <c r="BC60" s="4"/>
    </row>
    <row r="61" spans="1:55" ht="24.95" customHeight="1">
      <c r="A61" s="712"/>
      <c r="B61" s="66">
        <v>0</v>
      </c>
      <c r="C61" s="64" t="s">
        <v>141</v>
      </c>
      <c r="D61" s="65" t="s">
        <v>142</v>
      </c>
      <c r="E61" s="64" t="s">
        <v>9</v>
      </c>
      <c r="F61" s="66" t="s">
        <v>143</v>
      </c>
      <c r="G61" s="66" t="s">
        <v>144</v>
      </c>
      <c r="H61" s="66" t="s">
        <v>145</v>
      </c>
      <c r="I61" s="67" t="s">
        <v>146</v>
      </c>
      <c r="J61" s="67" t="s">
        <v>847</v>
      </c>
      <c r="K61" s="67" t="s">
        <v>148</v>
      </c>
      <c r="L61" s="67" t="s">
        <v>149</v>
      </c>
      <c r="M61" s="68" t="s">
        <v>150</v>
      </c>
      <c r="N61" s="3"/>
      <c r="O61" s="39" t="s">
        <v>313</v>
      </c>
      <c r="Q61" s="14" t="s">
        <v>152</v>
      </c>
      <c r="R61" s="49">
        <f>IF(AND(ISNUMBER(R54),R54&gt;0,ISNUMBER(I55),I55&gt;0),R54*1000/(I55*10),IF(AND(ISNUMBER(R53),R53&gt;0),R53,""))</f>
        <v>10</v>
      </c>
      <c r="S61" s="50" t="s">
        <v>76</v>
      </c>
      <c r="T61" s="50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H61" s="25" t="s">
        <v>153</v>
      </c>
      <c r="AI61" s="25"/>
      <c r="AJ61" s="25" t="s">
        <v>490</v>
      </c>
      <c r="AK61" s="25"/>
      <c r="AL61" s="25"/>
      <c r="AM61" s="25"/>
      <c r="AN61" s="26"/>
      <c r="AO61" s="26"/>
      <c r="AP61" s="26"/>
      <c r="AQ61" s="26"/>
      <c r="AR61" s="26"/>
      <c r="AS61" s="26"/>
      <c r="AU61" s="39" t="s">
        <v>175</v>
      </c>
      <c r="AV61" s="17" t="s">
        <v>21</v>
      </c>
      <c r="AW61" s="17">
        <v>350</v>
      </c>
      <c r="AX61" s="17" t="s">
        <v>22</v>
      </c>
      <c r="AY61" s="17" t="s">
        <v>314</v>
      </c>
      <c r="AZ61" s="174" t="s">
        <v>276</v>
      </c>
      <c r="BB61" s="4"/>
      <c r="BC61" s="4"/>
    </row>
    <row r="62" spans="1:55" ht="24.95" customHeight="1">
      <c r="A62" s="712"/>
      <c r="B62" s="158">
        <v>1</v>
      </c>
      <c r="C62" s="70"/>
      <c r="D62" s="79"/>
      <c r="E62" s="3"/>
      <c r="F62" s="72"/>
      <c r="G62" s="159"/>
      <c r="H62" s="160"/>
      <c r="I62" s="161"/>
      <c r="J62" s="73" t="s">
        <v>849</v>
      </c>
      <c r="K62" s="73"/>
      <c r="L62" s="73"/>
      <c r="M62" s="74"/>
      <c r="N62" s="3"/>
      <c r="O62" s="39" t="s">
        <v>49</v>
      </c>
      <c r="Q62" s="14" t="s">
        <v>158</v>
      </c>
      <c r="R62" s="75" t="str">
        <f>IF(AND(ISNUMBER(R54),R54&gt;0),"VOLUME TOTAL",IF(AND(ISNUMBER(R53),R53&gt;0),"NOMBRE DE COCKTAILS","RÉFÉRENCE"))</f>
        <v>NOMBRE DE COCKTAILS</v>
      </c>
      <c r="S62" s="50"/>
      <c r="T62" s="50"/>
      <c r="V62" s="831" t="s">
        <v>159</v>
      </c>
      <c r="W62" s="36" t="s">
        <v>160</v>
      </c>
      <c r="X62" s="76" t="s">
        <v>161</v>
      </c>
      <c r="Y62" s="835" t="s">
        <v>162</v>
      </c>
      <c r="Z62" s="838" t="s">
        <v>163</v>
      </c>
      <c r="AA62" s="36" t="s">
        <v>164</v>
      </c>
      <c r="AB62" s="36" t="s">
        <v>9</v>
      </c>
      <c r="AC62" s="841" t="s">
        <v>165</v>
      </c>
      <c r="AD62" s="296" t="s">
        <v>166</v>
      </c>
      <c r="AE62" s="36" t="s">
        <v>146</v>
      </c>
      <c r="AF62" s="833" t="s">
        <v>167</v>
      </c>
      <c r="AH62" s="77" t="s">
        <v>168</v>
      </c>
      <c r="AI62" s="78" t="s">
        <v>159</v>
      </c>
      <c r="AJ62" s="77" t="s">
        <v>10</v>
      </c>
      <c r="AK62" s="77" t="s">
        <v>169</v>
      </c>
      <c r="AL62" s="77" t="s">
        <v>170</v>
      </c>
      <c r="AM62" s="77" t="s">
        <v>91</v>
      </c>
      <c r="AN62" s="78" t="s">
        <v>161</v>
      </c>
      <c r="AO62" s="77" t="s">
        <v>171</v>
      </c>
      <c r="AP62" s="77" t="s">
        <v>172</v>
      </c>
      <c r="AQ62" s="77" t="s">
        <v>165</v>
      </c>
      <c r="AR62" s="77" t="s">
        <v>167</v>
      </c>
      <c r="AS62" s="77" t="s">
        <v>173</v>
      </c>
      <c r="AU62" s="39" t="s">
        <v>179</v>
      </c>
      <c r="AV62" s="17" t="s">
        <v>21</v>
      </c>
      <c r="AW62" s="17">
        <v>150</v>
      </c>
      <c r="AX62" s="17" t="s">
        <v>22</v>
      </c>
      <c r="AY62" s="17" t="s">
        <v>315</v>
      </c>
      <c r="AZ62" s="174" t="s">
        <v>276</v>
      </c>
      <c r="BB62" s="4"/>
      <c r="BC62" s="4"/>
    </row>
    <row r="63" spans="1:55" ht="24.95" customHeight="1">
      <c r="A63" s="712"/>
      <c r="B63" s="162">
        <v>2</v>
      </c>
      <c r="C63" s="70"/>
      <c r="D63" s="79"/>
      <c r="E63" s="3"/>
      <c r="F63" s="72"/>
      <c r="G63" s="159"/>
      <c r="H63" s="160"/>
      <c r="I63" s="161"/>
      <c r="J63" s="73" t="s">
        <v>6989</v>
      </c>
      <c r="K63" s="73"/>
      <c r="L63" s="73"/>
      <c r="M63" s="74"/>
      <c r="N63" s="3"/>
      <c r="O63" s="39" t="s">
        <v>316</v>
      </c>
      <c r="Q63" s="14" t="s">
        <v>35</v>
      </c>
      <c r="R63" s="35">
        <f>IFERROR(VLOOKUP(F54,$BB$5:$BC$40,2,FALSE),"")</f>
        <v>25</v>
      </c>
      <c r="S63" s="50" t="s">
        <v>32</v>
      </c>
      <c r="T63" s="50"/>
      <c r="V63" s="846" t="str">
        <f t="shared" ref="V63:V69" si="22">IF(AI63="","",AI63)</f>
        <v/>
      </c>
      <c r="W63" s="848" t="str">
        <f t="shared" ref="W63:W69" si="23">IF(C62="","",IF(H62="QS","QS",D62&amp;" "&amp;E62))</f>
        <v/>
      </c>
      <c r="X63" s="81" t="str">
        <f t="shared" ref="X63:X69" si="24">IF(AN63="","",AN63)</f>
        <v/>
      </c>
      <c r="Y63" s="836" t="str">
        <f t="shared" ref="Y63:Y69" si="25">IF(C62="","",IF(H62="QS","Qt. suffisante",IF(AN63="","",IF(AJ63="VOLUME",IF(AN63&gt;=1000,TEXT(AO63,"0.00")&amp;" "&amp;AP63,IF(AN63&gt;=10,TEXT(AO63,"0.0")&amp;" "&amp;AP63&amp;" ► "&amp;TEXT(AN63/1000,"0.000")&amp;" L",TEXT(AO63,"0.0")&amp;" "&amp;AP63)),IF(AJ63="MASSE",TEXT(AO63,"0.00")&amp;" "&amp;AP63,AO63&amp;" "&amp;AP63)))))</f>
        <v/>
      </c>
      <c r="Z63" s="839" t="str">
        <f>IF(OR(C62="",AJ63&lt;&gt;"VOLUME",AN70=0),"","≈ "&amp;TEXT(ROUND(AN63/AN70*10*2,0)/2,"0.0")&amp;"/10")</f>
        <v/>
      </c>
      <c r="AA63" s="82" t="str">
        <f t="shared" ref="AA63:AA69" si="26">IF(AJ63="AUTRE",AO63,"")</f>
        <v/>
      </c>
      <c r="AB63" s="83" t="str">
        <f t="shared" ref="AB63:AB69" si="27">IF(C62="","",AP63)</f>
        <v/>
      </c>
      <c r="AC63" s="842" t="str">
        <f t="shared" ref="AC63:AC69" si="28">IF(C62="","",AQ63)</f>
        <v/>
      </c>
      <c r="AD63" s="163" t="str">
        <f t="shared" ref="AD63:AD69" si="29">IF(C62="","",IF(ISNUMBER(F62),F62,0))</f>
        <v/>
      </c>
      <c r="AE63" s="164" t="str">
        <f t="shared" ref="AE63:AE69" si="30">IF(C62="","",IF(ISNUMBER(I62),I62,""))</f>
        <v/>
      </c>
      <c r="AF63" s="855" t="str">
        <f t="shared" ref="AF63:AF69" si="31">IF(C62="","",AR63)</f>
        <v/>
      </c>
      <c r="AH63" s="84" t="str">
        <f t="shared" ref="AH63:AH69" si="32">IF(C62="","",B62)</f>
        <v/>
      </c>
      <c r="AI63" s="85" t="str">
        <f t="shared" ref="AI63:AI69" si="33">IF(C62="","",C62)</f>
        <v/>
      </c>
      <c r="AJ63" s="84" t="str">
        <f t="shared" ref="AJ63:AJ69" si="34">IF(C62="","",IFERROR(VLOOKUP(E62,$AU$5:$AY$121,2,FALSE),"UNITÉ ?"))</f>
        <v/>
      </c>
      <c r="AK63" s="84" t="str">
        <f t="shared" ref="AK63:AK69" si="35">IF(C62="","",IFERROR(VLOOKUP(E62,$AU$5:$AY$121,3,FALSE),""))</f>
        <v/>
      </c>
      <c r="AL63" s="84" t="str">
        <f t="shared" ref="AL63:AL69" si="36">IF(OR(C62="",H62="QS",NOT(ISNUMBER(D62))),"",D62*AK63)</f>
        <v/>
      </c>
      <c r="AM63" s="84" t="str">
        <f>IF(C62="","",R55)</f>
        <v/>
      </c>
      <c r="AN63" s="84" t="str">
        <f t="shared" ref="AN63:AN69" si="37">IF(C62="","",IF(H62="QS","",IF(AL63="","",IF(OR(H62="F",H62="FIXE"),AL63,AL63*AM63))))</f>
        <v/>
      </c>
      <c r="AO63" s="84" t="str">
        <f t="shared" ref="AO63:AO69" si="38">IF(C62="","",IF(H62="QS","",IF(AN63="","",IF(AJ63="VOLUME",IF(AN63&gt;=1000,ROUND(AN63/1000,2),IF(AN63&gt;=10,ROUND(AN63/10,1),ROUND(AN63,1))),IF(AJ63="MASSE",IF(AN63&gt;=1000,ROUND(AN63/1000,2),ROUND(AN63,0)),ROUND(AN63,2))))))</f>
        <v/>
      </c>
      <c r="AP63" s="84" t="str">
        <f t="shared" ref="AP63:AP69" si="39">IF(C62="","",IF(H62="QS","",IF(AN63="","",IF(AJ63="VOLUME",IF(AN63&gt;=1000,"L",IF(AN63&gt;=10,"cl","ml")),IF(AJ63="MASSE",IF(AN63&gt;=1000,"Kg","g"),IFERROR(VLOOKUP(E62,$AU$5:$AY$121,5,FALSE),E62))))))</f>
        <v/>
      </c>
      <c r="AQ63" s="84" t="str">
        <f t="shared" ref="AQ63:AQ69" si="40">IF(C62="","",IF(OR(AJ63&lt;&gt;"VOLUME",NOT(ISNUMBER(F62)),AN63=""),0,AN63*F62/100))</f>
        <v/>
      </c>
      <c r="AR63" s="84" t="str">
        <f t="shared" ref="AR63:AR69" si="41">IF(C62="","",IF(H62="QS",0,IF(NOT(ISNUMBER(I62)),0,IF(OR(AJ63="VOLUME",AJ63="MASSE"),AN63/1000*I62,AN63*I62))))</f>
        <v/>
      </c>
      <c r="AS63" s="84" t="str">
        <f t="shared" ref="AS63:AS69" si="42">IF(C62="","",IF(H62="QS","OK",IF(NOT(ISNUMBER(D62)),"QUANTITÉ ?",IF(E62="","UNITÉ ?",IF(AJ63="UNITÉ ?","UNITÉ ?",IF(AND(H62&lt;&gt;"",H62&lt;&gt;"PROP",H62&lt;&gt;"F",H62&lt;&gt;"FIXE",H62&lt;&gt;"QS"),"RÈGLE ?","OK"))))))</f>
        <v/>
      </c>
      <c r="AU63" s="39" t="s">
        <v>183</v>
      </c>
      <c r="AV63" s="17" t="s">
        <v>21</v>
      </c>
      <c r="AW63" s="17">
        <v>570</v>
      </c>
      <c r="AX63" s="17" t="s">
        <v>22</v>
      </c>
      <c r="AY63" s="17" t="s">
        <v>317</v>
      </c>
      <c r="AZ63" s="174" t="s">
        <v>276</v>
      </c>
      <c r="BB63" s="4"/>
      <c r="BC63" s="4"/>
    </row>
    <row r="64" spans="1:55" ht="24.95" customHeight="1">
      <c r="A64" s="712"/>
      <c r="B64" s="158">
        <v>3</v>
      </c>
      <c r="C64" s="70"/>
      <c r="D64" s="79"/>
      <c r="E64" s="3"/>
      <c r="F64" s="72"/>
      <c r="G64" s="159"/>
      <c r="H64" s="160"/>
      <c r="I64" s="161"/>
      <c r="J64" s="73" t="s">
        <v>6990</v>
      </c>
      <c r="K64" s="73"/>
      <c r="L64" s="73"/>
      <c r="M64" s="74"/>
      <c r="N64" s="3"/>
      <c r="O64" s="39" t="s">
        <v>318</v>
      </c>
      <c r="V64" s="846" t="str">
        <f t="shared" si="22"/>
        <v/>
      </c>
      <c r="W64" s="848" t="str">
        <f t="shared" si="23"/>
        <v/>
      </c>
      <c r="X64" s="81" t="str">
        <f t="shared" si="24"/>
        <v/>
      </c>
      <c r="Y64" s="836" t="str">
        <f t="shared" si="25"/>
        <v/>
      </c>
      <c r="Z64" s="839" t="str">
        <f>IF(OR(C63="",AJ64&lt;&gt;"VOLUME",AN70=0),"","≈ "&amp;TEXT(ROUND(AN64/AN70*10*2,0)/2,"0.0")&amp;"/10")</f>
        <v/>
      </c>
      <c r="AA64" s="82" t="str">
        <f t="shared" si="26"/>
        <v/>
      </c>
      <c r="AB64" s="83" t="str">
        <f t="shared" si="27"/>
        <v/>
      </c>
      <c r="AC64" s="842" t="str">
        <f t="shared" si="28"/>
        <v/>
      </c>
      <c r="AD64" s="163" t="str">
        <f t="shared" si="29"/>
        <v/>
      </c>
      <c r="AE64" s="164" t="str">
        <f t="shared" si="30"/>
        <v/>
      </c>
      <c r="AF64" s="855" t="str">
        <f t="shared" si="31"/>
        <v/>
      </c>
      <c r="AH64" s="84" t="str">
        <f t="shared" si="32"/>
        <v/>
      </c>
      <c r="AI64" s="85" t="str">
        <f t="shared" si="33"/>
        <v/>
      </c>
      <c r="AJ64" s="84" t="str">
        <f t="shared" si="34"/>
        <v/>
      </c>
      <c r="AK64" s="84" t="str">
        <f t="shared" si="35"/>
        <v/>
      </c>
      <c r="AL64" s="84" t="str">
        <f t="shared" si="36"/>
        <v/>
      </c>
      <c r="AM64" s="84" t="str">
        <f>IF(C63="","",R55)</f>
        <v/>
      </c>
      <c r="AN64" s="84" t="str">
        <f t="shared" si="37"/>
        <v/>
      </c>
      <c r="AO64" s="84" t="str">
        <f t="shared" si="38"/>
        <v/>
      </c>
      <c r="AP64" s="84" t="str">
        <f t="shared" si="39"/>
        <v/>
      </c>
      <c r="AQ64" s="84" t="str">
        <f t="shared" si="40"/>
        <v/>
      </c>
      <c r="AR64" s="84" t="str">
        <f t="shared" si="41"/>
        <v/>
      </c>
      <c r="AS64" s="84" t="str">
        <f t="shared" si="42"/>
        <v/>
      </c>
      <c r="AU64" s="39" t="s">
        <v>187</v>
      </c>
      <c r="AV64" s="17" t="s">
        <v>21</v>
      </c>
      <c r="AW64" s="17">
        <v>470</v>
      </c>
      <c r="AX64" s="17" t="s">
        <v>22</v>
      </c>
      <c r="AY64" s="17" t="s">
        <v>319</v>
      </c>
      <c r="AZ64" s="174" t="s">
        <v>276</v>
      </c>
      <c r="BB64" s="4"/>
      <c r="BC64" s="4"/>
    </row>
    <row r="65" spans="1:55" ht="24.95" customHeight="1">
      <c r="A65" s="712"/>
      <c r="B65" s="162">
        <v>4</v>
      </c>
      <c r="C65" s="70"/>
      <c r="D65" s="79"/>
      <c r="E65" s="3"/>
      <c r="F65" s="72"/>
      <c r="G65" s="159"/>
      <c r="H65" s="160"/>
      <c r="I65" s="161"/>
      <c r="J65" s="73" t="s">
        <v>6991</v>
      </c>
      <c r="K65" s="73"/>
      <c r="L65" s="73"/>
      <c r="M65" s="74"/>
      <c r="N65" s="3"/>
      <c r="O65" s="39" t="s">
        <v>320</v>
      </c>
      <c r="Q65" s="744" t="s">
        <v>566</v>
      </c>
      <c r="V65" s="846" t="str">
        <f t="shared" si="22"/>
        <v/>
      </c>
      <c r="W65" s="848" t="str">
        <f t="shared" si="23"/>
        <v/>
      </c>
      <c r="X65" s="81" t="str">
        <f t="shared" si="24"/>
        <v/>
      </c>
      <c r="Y65" s="836" t="str">
        <f t="shared" si="25"/>
        <v/>
      </c>
      <c r="Z65" s="839" t="str">
        <f>IF(OR(C64="",AJ65&lt;&gt;"VOLUME",AN70=0),"","≈ "&amp;TEXT(ROUND(AN65/AN70*10*2,0)/2,"0.0")&amp;"/10")</f>
        <v/>
      </c>
      <c r="AA65" s="82" t="str">
        <f t="shared" si="26"/>
        <v/>
      </c>
      <c r="AB65" s="83" t="str">
        <f t="shared" si="27"/>
        <v/>
      </c>
      <c r="AC65" s="842" t="str">
        <f t="shared" si="28"/>
        <v/>
      </c>
      <c r="AD65" s="163" t="str">
        <f t="shared" si="29"/>
        <v/>
      </c>
      <c r="AE65" s="164" t="str">
        <f t="shared" si="30"/>
        <v/>
      </c>
      <c r="AF65" s="855" t="str">
        <f t="shared" si="31"/>
        <v/>
      </c>
      <c r="AH65" s="84" t="str">
        <f t="shared" si="32"/>
        <v/>
      </c>
      <c r="AI65" s="85" t="str">
        <f t="shared" si="33"/>
        <v/>
      </c>
      <c r="AJ65" s="84" t="str">
        <f t="shared" si="34"/>
        <v/>
      </c>
      <c r="AK65" s="84" t="str">
        <f t="shared" si="35"/>
        <v/>
      </c>
      <c r="AL65" s="84" t="str">
        <f t="shared" si="36"/>
        <v/>
      </c>
      <c r="AM65" s="84" t="str">
        <f>IF(C64="","",R55)</f>
        <v/>
      </c>
      <c r="AN65" s="84" t="str">
        <f t="shared" si="37"/>
        <v/>
      </c>
      <c r="AO65" s="84" t="str">
        <f t="shared" si="38"/>
        <v/>
      </c>
      <c r="AP65" s="84" t="str">
        <f t="shared" si="39"/>
        <v/>
      </c>
      <c r="AQ65" s="84" t="str">
        <f t="shared" si="40"/>
        <v/>
      </c>
      <c r="AR65" s="84" t="str">
        <f t="shared" si="41"/>
        <v/>
      </c>
      <c r="AS65" s="84" t="str">
        <f t="shared" si="42"/>
        <v/>
      </c>
      <c r="AU65" s="39" t="s">
        <v>191</v>
      </c>
      <c r="AV65" s="17" t="s">
        <v>21</v>
      </c>
      <c r="AW65" s="17">
        <v>400</v>
      </c>
      <c r="AX65" s="17" t="s">
        <v>22</v>
      </c>
      <c r="AY65" s="17" t="s">
        <v>321</v>
      </c>
      <c r="AZ65" s="174" t="s">
        <v>276</v>
      </c>
      <c r="BB65" s="4"/>
      <c r="BC65" s="4"/>
    </row>
    <row r="66" spans="1:55" ht="24.95" customHeight="1">
      <c r="A66" s="712"/>
      <c r="B66" s="158">
        <v>5</v>
      </c>
      <c r="C66" s="70"/>
      <c r="D66" s="79"/>
      <c r="E66" s="3"/>
      <c r="F66" s="72"/>
      <c r="G66" s="159"/>
      <c r="H66" s="160"/>
      <c r="I66" s="161"/>
      <c r="J66" s="73" t="s">
        <v>6992</v>
      </c>
      <c r="K66" s="73"/>
      <c r="L66" s="73"/>
      <c r="M66" s="74"/>
      <c r="N66" s="3"/>
      <c r="O66" s="39" t="s">
        <v>53</v>
      </c>
      <c r="Q66" s="744"/>
      <c r="V66" s="846" t="str">
        <f t="shared" si="22"/>
        <v/>
      </c>
      <c r="W66" s="848" t="str">
        <f t="shared" si="23"/>
        <v/>
      </c>
      <c r="X66" s="81" t="str">
        <f t="shared" si="24"/>
        <v/>
      </c>
      <c r="Y66" s="836" t="str">
        <f t="shared" si="25"/>
        <v/>
      </c>
      <c r="Z66" s="839" t="str">
        <f>IF(OR(C65="",AJ66&lt;&gt;"VOLUME",AN70=0),"","≈ "&amp;TEXT(ROUND(AN66/AN70*10*2,0)/2,"0.0")&amp;"/10")</f>
        <v/>
      </c>
      <c r="AA66" s="82" t="str">
        <f t="shared" si="26"/>
        <v/>
      </c>
      <c r="AB66" s="83" t="str">
        <f t="shared" si="27"/>
        <v/>
      </c>
      <c r="AC66" s="842" t="str">
        <f t="shared" si="28"/>
        <v/>
      </c>
      <c r="AD66" s="163" t="str">
        <f t="shared" si="29"/>
        <v/>
      </c>
      <c r="AE66" s="164" t="str">
        <f t="shared" si="30"/>
        <v/>
      </c>
      <c r="AF66" s="855" t="str">
        <f t="shared" si="31"/>
        <v/>
      </c>
      <c r="AH66" s="84" t="str">
        <f t="shared" si="32"/>
        <v/>
      </c>
      <c r="AI66" s="85" t="str">
        <f t="shared" si="33"/>
        <v/>
      </c>
      <c r="AJ66" s="84" t="str">
        <f t="shared" si="34"/>
        <v/>
      </c>
      <c r="AK66" s="84" t="str">
        <f t="shared" si="35"/>
        <v/>
      </c>
      <c r="AL66" s="84" t="str">
        <f t="shared" si="36"/>
        <v/>
      </c>
      <c r="AM66" s="84" t="str">
        <f>IF(C65="","",R55)</f>
        <v/>
      </c>
      <c r="AN66" s="84" t="str">
        <f t="shared" si="37"/>
        <v/>
      </c>
      <c r="AO66" s="84" t="str">
        <f t="shared" si="38"/>
        <v/>
      </c>
      <c r="AP66" s="84" t="str">
        <f t="shared" si="39"/>
        <v/>
      </c>
      <c r="AQ66" s="84" t="str">
        <f t="shared" si="40"/>
        <v/>
      </c>
      <c r="AR66" s="84" t="str">
        <f t="shared" si="41"/>
        <v/>
      </c>
      <c r="AS66" s="84" t="str">
        <f t="shared" si="42"/>
        <v/>
      </c>
      <c r="AU66" s="39" t="s">
        <v>194</v>
      </c>
      <c r="AV66" s="17" t="s">
        <v>21</v>
      </c>
      <c r="AW66" s="17">
        <v>30</v>
      </c>
      <c r="AX66" s="17" t="s">
        <v>22</v>
      </c>
      <c r="AY66" s="17" t="s">
        <v>322</v>
      </c>
      <c r="AZ66" s="174" t="s">
        <v>276</v>
      </c>
      <c r="BB66" s="4"/>
      <c r="BC66" s="4"/>
    </row>
    <row r="67" spans="1:55" ht="24.95" customHeight="1">
      <c r="A67" s="712"/>
      <c r="B67" s="162"/>
      <c r="C67" s="70"/>
      <c r="D67" s="79"/>
      <c r="E67" s="3"/>
      <c r="F67" s="72"/>
      <c r="G67" s="159"/>
      <c r="H67" s="160"/>
      <c r="I67" s="161"/>
      <c r="J67" s="73" t="s">
        <v>243</v>
      </c>
      <c r="K67" s="73"/>
      <c r="L67" s="73"/>
      <c r="M67" s="74"/>
      <c r="N67" s="3"/>
      <c r="O67" s="39" t="s">
        <v>58</v>
      </c>
      <c r="V67" s="846" t="str">
        <f t="shared" si="22"/>
        <v/>
      </c>
      <c r="W67" s="848" t="str">
        <f t="shared" si="23"/>
        <v/>
      </c>
      <c r="X67" s="81" t="str">
        <f t="shared" si="24"/>
        <v/>
      </c>
      <c r="Y67" s="836" t="str">
        <f t="shared" si="25"/>
        <v/>
      </c>
      <c r="Z67" s="839" t="str">
        <f>IF(OR(C66="",AJ67&lt;&gt;"VOLUME",AN70=0),"","≈ "&amp;TEXT(ROUND(AN67/AN70*10*2,0)/2,"0.0")&amp;"/10")</f>
        <v/>
      </c>
      <c r="AA67" s="80" t="str">
        <f t="shared" si="26"/>
        <v/>
      </c>
      <c r="AB67" s="83" t="str">
        <f t="shared" si="27"/>
        <v/>
      </c>
      <c r="AC67" s="842" t="str">
        <f t="shared" si="28"/>
        <v/>
      </c>
      <c r="AD67" s="163" t="str">
        <f t="shared" si="29"/>
        <v/>
      </c>
      <c r="AE67" s="164" t="str">
        <f t="shared" si="30"/>
        <v/>
      </c>
      <c r="AF67" s="855" t="str">
        <f t="shared" si="31"/>
        <v/>
      </c>
      <c r="AH67" s="84" t="str">
        <f t="shared" si="32"/>
        <v/>
      </c>
      <c r="AI67" s="85" t="str">
        <f t="shared" si="33"/>
        <v/>
      </c>
      <c r="AJ67" s="84" t="str">
        <f t="shared" si="34"/>
        <v/>
      </c>
      <c r="AK67" s="84" t="str">
        <f t="shared" si="35"/>
        <v/>
      </c>
      <c r="AL67" s="84" t="str">
        <f t="shared" si="36"/>
        <v/>
      </c>
      <c r="AM67" s="84" t="str">
        <f>IF(C66="","",R55)</f>
        <v/>
      </c>
      <c r="AN67" s="84" t="str">
        <f t="shared" si="37"/>
        <v/>
      </c>
      <c r="AO67" s="84" t="str">
        <f t="shared" si="38"/>
        <v/>
      </c>
      <c r="AP67" s="84" t="str">
        <f t="shared" si="39"/>
        <v/>
      </c>
      <c r="AQ67" s="84" t="str">
        <f t="shared" si="40"/>
        <v/>
      </c>
      <c r="AR67" s="84" t="str">
        <f t="shared" si="41"/>
        <v/>
      </c>
      <c r="AS67" s="84" t="str">
        <f t="shared" si="42"/>
        <v/>
      </c>
      <c r="AU67" s="39" t="s">
        <v>201</v>
      </c>
      <c r="AV67" s="17" t="s">
        <v>21</v>
      </c>
      <c r="AW67" s="17">
        <v>300</v>
      </c>
      <c r="AX67" s="17" t="s">
        <v>22</v>
      </c>
      <c r="AY67" s="17" t="s">
        <v>323</v>
      </c>
      <c r="AZ67" s="174" t="s">
        <v>276</v>
      </c>
      <c r="BB67" s="4"/>
      <c r="BC67" s="4"/>
    </row>
    <row r="68" spans="1:55" ht="24.95" customHeight="1">
      <c r="A68" s="712"/>
      <c r="B68" s="158"/>
      <c r="C68" s="70"/>
      <c r="D68" s="79"/>
      <c r="E68" s="3"/>
      <c r="F68" s="72"/>
      <c r="G68" s="159"/>
      <c r="H68" s="160"/>
      <c r="I68" s="161"/>
      <c r="J68" s="73" t="s">
        <v>6995</v>
      </c>
      <c r="K68" s="73"/>
      <c r="L68" s="73"/>
      <c r="M68" s="74"/>
      <c r="N68" s="3"/>
      <c r="O68" s="39" t="s">
        <v>79</v>
      </c>
      <c r="Q68" s="355" t="s">
        <v>558</v>
      </c>
      <c r="V68" s="847" t="str">
        <f t="shared" si="22"/>
        <v/>
      </c>
      <c r="W68" s="849" t="str">
        <f t="shared" si="23"/>
        <v/>
      </c>
      <c r="X68" s="86" t="str">
        <f t="shared" si="24"/>
        <v/>
      </c>
      <c r="Y68" s="837" t="str">
        <f t="shared" si="25"/>
        <v/>
      </c>
      <c r="Z68" s="840" t="str">
        <f>IF(OR(C67="",AJ68&lt;&gt;"VOLUME",AN70=0),"","≈ "&amp;TEXT(ROUND(AN68/AN70*10*2,0)/2,"0.0")&amp;"/10")</f>
        <v/>
      </c>
      <c r="AA68" s="87" t="str">
        <f t="shared" si="26"/>
        <v/>
      </c>
      <c r="AB68" s="88" t="str">
        <f t="shared" si="27"/>
        <v/>
      </c>
      <c r="AC68" s="843" t="str">
        <f t="shared" si="28"/>
        <v/>
      </c>
      <c r="AD68" s="88" t="str">
        <f t="shared" si="29"/>
        <v/>
      </c>
      <c r="AE68" s="88" t="str">
        <f t="shared" si="30"/>
        <v/>
      </c>
      <c r="AF68" s="834" t="str">
        <f t="shared" si="31"/>
        <v/>
      </c>
      <c r="AH68" s="84" t="str">
        <f t="shared" si="32"/>
        <v/>
      </c>
      <c r="AI68" s="85" t="str">
        <f t="shared" si="33"/>
        <v/>
      </c>
      <c r="AJ68" s="84" t="str">
        <f t="shared" si="34"/>
        <v/>
      </c>
      <c r="AK68" s="84" t="str">
        <f t="shared" si="35"/>
        <v/>
      </c>
      <c r="AL68" s="84" t="str">
        <f t="shared" si="36"/>
        <v/>
      </c>
      <c r="AM68" s="84" t="str">
        <f>IF(C67="","",R55)</f>
        <v/>
      </c>
      <c r="AN68" s="84" t="str">
        <f t="shared" si="37"/>
        <v/>
      </c>
      <c r="AO68" s="84" t="str">
        <f t="shared" si="38"/>
        <v/>
      </c>
      <c r="AP68" s="84" t="str">
        <f t="shared" si="39"/>
        <v/>
      </c>
      <c r="AQ68" s="84" t="str">
        <f t="shared" si="40"/>
        <v/>
      </c>
      <c r="AR68" s="84" t="str">
        <f t="shared" si="41"/>
        <v/>
      </c>
      <c r="AS68" s="84" t="str">
        <f t="shared" si="42"/>
        <v/>
      </c>
      <c r="AU68" s="39" t="s">
        <v>205</v>
      </c>
      <c r="AV68" s="17" t="s">
        <v>21</v>
      </c>
      <c r="AW68" s="17">
        <v>200</v>
      </c>
      <c r="AX68" s="17" t="s">
        <v>22</v>
      </c>
      <c r="AY68" s="17" t="s">
        <v>324</v>
      </c>
      <c r="AZ68" s="174" t="s">
        <v>276</v>
      </c>
      <c r="BB68" s="4"/>
      <c r="BC68" s="4"/>
    </row>
    <row r="69" spans="1:55" ht="24.95" customHeight="1">
      <c r="A69" s="712"/>
      <c r="B69" s="14" t="s">
        <v>44</v>
      </c>
      <c r="C69" s="146" t="s">
        <v>198</v>
      </c>
      <c r="D69" s="89"/>
      <c r="E69" s="89"/>
      <c r="F69" s="89"/>
      <c r="G69" s="89"/>
      <c r="H69" s="89"/>
      <c r="I69" s="89"/>
      <c r="J69" s="89" t="s">
        <v>6996</v>
      </c>
      <c r="K69" s="89"/>
      <c r="L69" s="89"/>
      <c r="M69" s="90"/>
      <c r="N69" s="3"/>
      <c r="O69" s="39" t="s">
        <v>109</v>
      </c>
      <c r="Q69"/>
      <c r="V69" s="847" t="str">
        <f t="shared" si="22"/>
        <v/>
      </c>
      <c r="W69" s="849" t="str">
        <f t="shared" si="23"/>
        <v/>
      </c>
      <c r="X69" s="86" t="str">
        <f t="shared" si="24"/>
        <v/>
      </c>
      <c r="Y69" s="837" t="str">
        <f t="shared" si="25"/>
        <v/>
      </c>
      <c r="Z69" s="840" t="str">
        <f>IF(OR(C68="",AJ69&lt;&gt;"VOLUME",AN70=0),"","≈ "&amp;TEXT(ROUND(AN69/AN70*10*2,0)/2,"0.0")&amp;"/10")</f>
        <v/>
      </c>
      <c r="AA69" s="87" t="str">
        <f t="shared" si="26"/>
        <v/>
      </c>
      <c r="AB69" s="88" t="str">
        <f t="shared" si="27"/>
        <v/>
      </c>
      <c r="AC69" s="843" t="str">
        <f t="shared" si="28"/>
        <v/>
      </c>
      <c r="AD69" s="88" t="str">
        <f t="shared" si="29"/>
        <v/>
      </c>
      <c r="AE69" s="88" t="str">
        <f t="shared" si="30"/>
        <v/>
      </c>
      <c r="AF69" s="834" t="str">
        <f t="shared" si="31"/>
        <v/>
      </c>
      <c r="AH69" s="84" t="str">
        <f t="shared" si="32"/>
        <v/>
      </c>
      <c r="AI69" s="85" t="str">
        <f t="shared" si="33"/>
        <v/>
      </c>
      <c r="AJ69" s="84" t="str">
        <f t="shared" si="34"/>
        <v/>
      </c>
      <c r="AK69" s="84" t="str">
        <f t="shared" si="35"/>
        <v/>
      </c>
      <c r="AL69" s="84" t="str">
        <f t="shared" si="36"/>
        <v/>
      </c>
      <c r="AM69" s="84" t="str">
        <f>IF(C68="","",R55)</f>
        <v/>
      </c>
      <c r="AN69" s="84" t="str">
        <f t="shared" si="37"/>
        <v/>
      </c>
      <c r="AO69" s="84" t="str">
        <f t="shared" si="38"/>
        <v/>
      </c>
      <c r="AP69" s="84" t="str">
        <f t="shared" si="39"/>
        <v/>
      </c>
      <c r="AQ69" s="84" t="str">
        <f t="shared" si="40"/>
        <v/>
      </c>
      <c r="AR69" s="84" t="str">
        <f t="shared" si="41"/>
        <v/>
      </c>
      <c r="AS69" s="84" t="str">
        <f t="shared" si="42"/>
        <v/>
      </c>
      <c r="AU69" s="39" t="s">
        <v>211</v>
      </c>
      <c r="AV69" s="17" t="s">
        <v>21</v>
      </c>
      <c r="AW69" s="17">
        <v>250</v>
      </c>
      <c r="AX69" s="17" t="s">
        <v>22</v>
      </c>
      <c r="AY69" s="17" t="s">
        <v>325</v>
      </c>
      <c r="AZ69" s="174" t="s">
        <v>276</v>
      </c>
      <c r="BB69" s="4"/>
      <c r="BC69" s="4"/>
    </row>
    <row r="70" spans="1:55" ht="24.95" customHeight="1">
      <c r="A70" s="712"/>
      <c r="B70" s="91">
        <v>0</v>
      </c>
      <c r="C70" s="10" t="s">
        <v>491</v>
      </c>
      <c r="D70" s="11"/>
      <c r="E70" s="11"/>
      <c r="F70" s="11"/>
      <c r="G70" s="11"/>
      <c r="H70" s="11"/>
      <c r="I70" s="11"/>
      <c r="J70" s="11"/>
      <c r="K70" s="11"/>
      <c r="L70" s="11"/>
      <c r="M70" s="92"/>
      <c r="N70" s="3"/>
      <c r="O70" s="39" t="s">
        <v>326</v>
      </c>
      <c r="Q70" s="29" t="s">
        <v>70</v>
      </c>
      <c r="V70" s="851" t="s">
        <v>203</v>
      </c>
      <c r="W70" s="93"/>
      <c r="X70" s="845">
        <f>AN70</f>
        <v>0</v>
      </c>
      <c r="Y70" s="835" t="str">
        <f>IF(AN70=0,"",TEXT(AN70/1000,"0.000")&amp;" L")</f>
        <v/>
      </c>
      <c r="Z70" s="857"/>
      <c r="AA70" s="93"/>
      <c r="AB70" s="93"/>
      <c r="AC70" s="832">
        <f>AQ70</f>
        <v>0</v>
      </c>
      <c r="AD70" s="844" t="str">
        <f>IF(AN70=0,"",AQ70/AN70*100)</f>
        <v/>
      </c>
      <c r="AE70" s="93"/>
      <c r="AF70" s="856">
        <f>AR70</f>
        <v>0</v>
      </c>
      <c r="AH70" s="94" t="s">
        <v>203</v>
      </c>
      <c r="AI70" s="94"/>
      <c r="AJ70" s="94"/>
      <c r="AK70" s="94"/>
      <c r="AL70" s="94"/>
      <c r="AM70" s="94"/>
      <c r="AN70" s="94">
        <f>SUMIF(AJ63:AJ69,"VOLUME",AN63:AN69)</f>
        <v>0</v>
      </c>
      <c r="AO70" s="94"/>
      <c r="AP70" s="94"/>
      <c r="AQ70" s="94">
        <f>SUM(AQ63:AQ69)</f>
        <v>0</v>
      </c>
      <c r="AR70" s="94">
        <f>SUM(AR63:AR69)</f>
        <v>0</v>
      </c>
      <c r="AS70" s="94" t="str">
        <f>IF(COUNTIF(AS63:AS69,"&lt;&gt;OK")-COUNTBLANK(AS63:AS69)=0,"OK","À CONTRÔLER")</f>
        <v>OK</v>
      </c>
      <c r="AU70" s="39" t="s">
        <v>216</v>
      </c>
      <c r="AV70" s="17" t="s">
        <v>21</v>
      </c>
      <c r="AW70" s="17">
        <v>300</v>
      </c>
      <c r="AX70" s="17" t="s">
        <v>22</v>
      </c>
      <c r="AY70" s="17" t="s">
        <v>327</v>
      </c>
      <c r="AZ70" s="174" t="s">
        <v>276</v>
      </c>
      <c r="BB70" s="4"/>
      <c r="BC70" s="4"/>
    </row>
    <row r="71" spans="1:55" ht="24.95" customHeight="1">
      <c r="A71" s="712"/>
      <c r="B71" s="95">
        <v>1</v>
      </c>
      <c r="C71" s="96" t="s">
        <v>206</v>
      </c>
      <c r="D71" s="96"/>
      <c r="E71" s="96"/>
      <c r="F71" s="96"/>
      <c r="G71" s="96"/>
      <c r="H71" s="96"/>
      <c r="I71" s="96"/>
      <c r="J71" s="96"/>
      <c r="K71" s="96"/>
      <c r="L71" s="96"/>
      <c r="M71" s="74"/>
      <c r="N71" s="3"/>
      <c r="O71" s="39" t="s">
        <v>120</v>
      </c>
      <c r="Q71" s="184"/>
      <c r="V71" s="832" t="s">
        <v>208</v>
      </c>
      <c r="W71" s="19" t="s">
        <v>209</v>
      </c>
      <c r="X71" s="36"/>
      <c r="Y71" s="858"/>
      <c r="Z71" s="859"/>
      <c r="AA71" s="97"/>
      <c r="AB71" s="97"/>
      <c r="AC71" s="97"/>
      <c r="AD71" s="97"/>
      <c r="AE71" s="97"/>
      <c r="AF71" s="860"/>
      <c r="AH71" s="3" t="s">
        <v>6994</v>
      </c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U71" s="39" t="s">
        <v>83</v>
      </c>
      <c r="AV71" s="17" t="s">
        <v>21</v>
      </c>
      <c r="AW71" s="17">
        <v>240</v>
      </c>
      <c r="AX71" s="17" t="s">
        <v>22</v>
      </c>
      <c r="AY71" s="17" t="s">
        <v>328</v>
      </c>
      <c r="AZ71" s="174" t="s">
        <v>276</v>
      </c>
      <c r="BB71" s="4"/>
      <c r="BC71" s="4"/>
    </row>
    <row r="72" spans="1:55" ht="24.95" customHeight="1">
      <c r="A72" s="712"/>
      <c r="B72" s="95">
        <v>2</v>
      </c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74"/>
      <c r="N72" s="3"/>
      <c r="O72" s="39" t="s">
        <v>130</v>
      </c>
      <c r="P72" s="3"/>
      <c r="Q72" s="29" t="s">
        <v>584</v>
      </c>
      <c r="V72" s="98" t="str">
        <f t="shared" ref="V72:V79" si="43">IF(C71="","",C71)</f>
        <v>Préparer le verre et le poste de travail.</v>
      </c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H72" s="146" t="s">
        <v>214</v>
      </c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3"/>
      <c r="AU72" s="39" t="s">
        <v>227</v>
      </c>
      <c r="AV72" s="17" t="s">
        <v>21</v>
      </c>
      <c r="AW72" s="17">
        <v>60</v>
      </c>
      <c r="AX72" s="17" t="s">
        <v>22</v>
      </c>
      <c r="AY72" s="17" t="s">
        <v>329</v>
      </c>
      <c r="AZ72" s="174" t="s">
        <v>276</v>
      </c>
      <c r="BB72" s="4"/>
      <c r="BC72" s="4"/>
    </row>
    <row r="73" spans="1:55" ht="24.95" customHeight="1">
      <c r="A73" s="712"/>
      <c r="B73" s="95">
        <v>3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74"/>
      <c r="N73" s="3"/>
      <c r="O73" s="39" t="s">
        <v>140</v>
      </c>
      <c r="P73" s="3"/>
      <c r="Q73"/>
      <c r="R73" s="3"/>
      <c r="S73" s="3"/>
      <c r="T73" s="3"/>
      <c r="U73" s="3"/>
      <c r="V73" s="98" t="str">
        <f t="shared" si="43"/>
        <v/>
      </c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H73" s="165" t="s">
        <v>219</v>
      </c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U73" s="39" t="s">
        <v>238</v>
      </c>
      <c r="AV73" s="17" t="s">
        <v>21</v>
      </c>
      <c r="AW73" s="17">
        <v>200</v>
      </c>
      <c r="AX73" s="17" t="s">
        <v>22</v>
      </c>
      <c r="AY73" s="17" t="s">
        <v>330</v>
      </c>
      <c r="AZ73" s="174" t="s">
        <v>276</v>
      </c>
      <c r="BB73" s="4"/>
      <c r="BC73" s="4"/>
    </row>
    <row r="74" spans="1:55" ht="24.95" customHeight="1">
      <c r="A74" s="712"/>
      <c r="B74" s="95">
        <v>4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74"/>
      <c r="N74" s="3"/>
      <c r="O74" s="39" t="s">
        <v>331</v>
      </c>
      <c r="P74" s="3"/>
      <c r="Q74" s="356" t="s">
        <v>564</v>
      </c>
      <c r="R74" s="3"/>
      <c r="S74" s="3"/>
      <c r="T74" s="3"/>
      <c r="U74" s="3"/>
      <c r="V74" s="98" t="str">
        <f t="shared" si="43"/>
        <v/>
      </c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H74" s="166" t="s">
        <v>222</v>
      </c>
      <c r="AI74" s="167" t="s">
        <v>223</v>
      </c>
      <c r="AJ74" s="165"/>
      <c r="AK74" s="167" t="s">
        <v>224</v>
      </c>
      <c r="AL74" s="165"/>
      <c r="AM74" s="165"/>
      <c r="AN74" s="165"/>
      <c r="AO74" s="167" t="s">
        <v>225</v>
      </c>
      <c r="AP74" s="165"/>
      <c r="AQ74" s="165"/>
      <c r="AR74" s="165"/>
      <c r="AU74" s="39" t="s">
        <v>93</v>
      </c>
      <c r="AV74" s="17" t="s">
        <v>21</v>
      </c>
      <c r="AW74" s="17">
        <v>360</v>
      </c>
      <c r="AX74" s="17" t="s">
        <v>22</v>
      </c>
      <c r="AY74" s="17" t="s">
        <v>332</v>
      </c>
      <c r="AZ74" s="174" t="s">
        <v>276</v>
      </c>
      <c r="BB74" s="4"/>
      <c r="BC74" s="4"/>
    </row>
    <row r="75" spans="1:55" ht="24.95" customHeight="1">
      <c r="A75" s="712"/>
      <c r="B75" s="95">
        <v>5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74"/>
      <c r="N75" s="3"/>
      <c r="O75" s="39" t="s">
        <v>333</v>
      </c>
      <c r="P75" s="3"/>
      <c r="Q75"/>
      <c r="R75" s="3"/>
      <c r="S75" s="3"/>
      <c r="T75" s="3"/>
      <c r="U75" s="3"/>
      <c r="V75" s="98" t="str">
        <f t="shared" si="43"/>
        <v/>
      </c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H75" s="750" t="s">
        <v>156</v>
      </c>
      <c r="AI75" s="748" t="s">
        <v>230</v>
      </c>
      <c r="AJ75" s="748"/>
      <c r="AK75" s="749" t="s">
        <v>231</v>
      </c>
      <c r="AL75" s="749"/>
      <c r="AM75" s="749"/>
      <c r="AN75" s="749"/>
      <c r="AO75" s="746" t="s">
        <v>232</v>
      </c>
      <c r="AP75" s="746"/>
      <c r="AQ75" s="746"/>
      <c r="AR75" s="746"/>
      <c r="AU75" s="39" t="s">
        <v>251</v>
      </c>
      <c r="AV75" s="17" t="s">
        <v>21</v>
      </c>
      <c r="AW75" s="17">
        <v>5</v>
      </c>
      <c r="AX75" s="17" t="s">
        <v>22</v>
      </c>
      <c r="AY75" s="17" t="s">
        <v>251</v>
      </c>
      <c r="AZ75" s="153" t="s">
        <v>108</v>
      </c>
      <c r="BB75" s="4"/>
      <c r="BC75" s="4"/>
    </row>
    <row r="76" spans="1:55" ht="24.95" customHeight="1">
      <c r="A76" s="712"/>
      <c r="B76" s="95">
        <v>6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74"/>
      <c r="N76" s="3"/>
      <c r="O76" s="39" t="s">
        <v>334</v>
      </c>
      <c r="P76" s="3"/>
      <c r="Q76" s="356" t="s">
        <v>72</v>
      </c>
      <c r="R76" s="3"/>
      <c r="S76" s="3"/>
      <c r="T76" s="3"/>
      <c r="U76" s="3"/>
      <c r="V76" s="98" t="str">
        <f t="shared" si="43"/>
        <v/>
      </c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H76" s="750"/>
      <c r="AI76" s="748"/>
      <c r="AJ76" s="748"/>
      <c r="AK76" s="749"/>
      <c r="AL76" s="749"/>
      <c r="AM76" s="749"/>
      <c r="AN76" s="749"/>
      <c r="AO76" s="746"/>
      <c r="AP76" s="746"/>
      <c r="AQ76" s="746"/>
      <c r="AR76" s="746"/>
      <c r="AU76" s="39" t="s">
        <v>302</v>
      </c>
      <c r="AV76" s="17" t="s">
        <v>21</v>
      </c>
      <c r="AW76" s="17">
        <v>1</v>
      </c>
      <c r="AX76" s="17" t="s">
        <v>22</v>
      </c>
      <c r="AY76" s="17" t="s">
        <v>335</v>
      </c>
      <c r="AZ76" s="153" t="s">
        <v>108</v>
      </c>
      <c r="BB76" s="4"/>
      <c r="BC76" s="4"/>
    </row>
    <row r="77" spans="1:55" ht="24.95" customHeight="1">
      <c r="A77" s="712"/>
      <c r="B77" s="95">
        <v>7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74"/>
      <c r="N77" s="3"/>
      <c r="O77" s="39" t="s">
        <v>336</v>
      </c>
      <c r="P77" s="3"/>
      <c r="Q77"/>
      <c r="R77" s="3"/>
      <c r="S77" s="3"/>
      <c r="T77" s="3"/>
      <c r="U77" s="3"/>
      <c r="V77" s="98" t="str">
        <f t="shared" si="43"/>
        <v/>
      </c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H77" s="747" t="s">
        <v>492</v>
      </c>
      <c r="AI77" s="748" t="s">
        <v>241</v>
      </c>
      <c r="AJ77" s="748"/>
      <c r="AK77" s="749" t="s">
        <v>242</v>
      </c>
      <c r="AL77" s="749"/>
      <c r="AM77" s="749"/>
      <c r="AN77" s="749"/>
      <c r="AO77" s="746" t="s">
        <v>243</v>
      </c>
      <c r="AP77" s="746"/>
      <c r="AQ77" s="746"/>
      <c r="AR77" s="746"/>
      <c r="AU77" s="39" t="s">
        <v>310</v>
      </c>
      <c r="AV77" s="17" t="s">
        <v>21</v>
      </c>
      <c r="AW77" s="17">
        <v>60</v>
      </c>
      <c r="AX77" s="17" t="s">
        <v>22</v>
      </c>
      <c r="AY77" s="17" t="s">
        <v>337</v>
      </c>
      <c r="AZ77" s="153" t="s">
        <v>108</v>
      </c>
      <c r="BB77" s="4"/>
      <c r="BC77" s="4"/>
    </row>
    <row r="78" spans="1:55" ht="24.95" customHeight="1">
      <c r="A78" s="712"/>
      <c r="B78" s="95">
        <v>8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74"/>
      <c r="N78" s="3"/>
      <c r="O78" s="39" t="s">
        <v>338</v>
      </c>
      <c r="P78" s="3"/>
      <c r="Q78" s="356" t="s">
        <v>602</v>
      </c>
      <c r="R78" s="3"/>
      <c r="S78" s="3"/>
      <c r="T78" s="3"/>
      <c r="U78" s="3"/>
      <c r="V78" s="98" t="str">
        <f t="shared" si="43"/>
        <v/>
      </c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H78" s="747"/>
      <c r="AI78" s="748"/>
      <c r="AJ78" s="748"/>
      <c r="AK78" s="749"/>
      <c r="AL78" s="749"/>
      <c r="AM78" s="749"/>
      <c r="AN78" s="749"/>
      <c r="AO78" s="746"/>
      <c r="AP78" s="746"/>
      <c r="AQ78" s="746"/>
      <c r="AR78" s="746"/>
      <c r="AU78" s="39" t="s">
        <v>331</v>
      </c>
      <c r="AV78" s="17" t="s">
        <v>21</v>
      </c>
      <c r="AW78" s="17">
        <v>2</v>
      </c>
      <c r="AX78" s="17" t="s">
        <v>22</v>
      </c>
      <c r="AY78" s="17" t="s">
        <v>331</v>
      </c>
      <c r="AZ78" s="153" t="s">
        <v>108</v>
      </c>
      <c r="BB78" s="4"/>
      <c r="BC78" s="4"/>
    </row>
    <row r="79" spans="1:55" ht="24.95" customHeight="1">
      <c r="A79" s="712"/>
      <c r="B79" s="101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90"/>
      <c r="N79" s="3"/>
      <c r="O79" s="39" t="s">
        <v>339</v>
      </c>
      <c r="P79" s="3"/>
      <c r="Q79" s="183"/>
      <c r="R79" s="3"/>
      <c r="S79" s="3"/>
      <c r="T79" s="3"/>
      <c r="U79" s="3"/>
      <c r="V79" s="98" t="str">
        <f t="shared" si="43"/>
        <v/>
      </c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H79" s="750" t="s">
        <v>6993</v>
      </c>
      <c r="AI79" s="748" t="s">
        <v>252</v>
      </c>
      <c r="AJ79" s="748"/>
      <c r="AK79" s="749" t="s">
        <v>253</v>
      </c>
      <c r="AL79" s="749"/>
      <c r="AM79" s="749"/>
      <c r="AN79" s="749"/>
      <c r="AO79" s="746" t="s">
        <v>254</v>
      </c>
      <c r="AP79" s="746"/>
      <c r="AQ79" s="746"/>
      <c r="AR79" s="746"/>
      <c r="AU79" s="39" t="s">
        <v>333</v>
      </c>
      <c r="AV79" s="17" t="s">
        <v>21</v>
      </c>
      <c r="AW79" s="17">
        <v>44</v>
      </c>
      <c r="AX79" s="17" t="s">
        <v>22</v>
      </c>
      <c r="AY79" s="17" t="s">
        <v>333</v>
      </c>
      <c r="AZ79" s="153" t="s">
        <v>108</v>
      </c>
      <c r="BB79" s="4"/>
      <c r="BC79" s="4"/>
    </row>
    <row r="80" spans="1:55" ht="24.95" customHeight="1">
      <c r="A80" s="712"/>
      <c r="B80" s="10" t="s">
        <v>258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92"/>
      <c r="N80" s="3"/>
      <c r="O80" s="39" t="s">
        <v>340</v>
      </c>
      <c r="P80" s="3"/>
      <c r="Q80" s="356" t="s">
        <v>609</v>
      </c>
      <c r="R80" s="3"/>
      <c r="S80" s="3"/>
      <c r="T80" s="3"/>
      <c r="U80" s="3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H80" s="750"/>
      <c r="AI80" s="748"/>
      <c r="AJ80" s="748"/>
      <c r="AK80" s="749"/>
      <c r="AL80" s="749"/>
      <c r="AM80" s="749"/>
      <c r="AN80" s="749"/>
      <c r="AO80" s="746"/>
      <c r="AP80" s="746"/>
      <c r="AQ80" s="746"/>
      <c r="AR80" s="746"/>
      <c r="AU80" s="39" t="s">
        <v>334</v>
      </c>
      <c r="AV80" s="17" t="s">
        <v>21</v>
      </c>
      <c r="AW80" s="17">
        <v>44</v>
      </c>
      <c r="AX80" s="17" t="s">
        <v>22</v>
      </c>
      <c r="AY80" s="17" t="s">
        <v>334</v>
      </c>
      <c r="AZ80" s="153" t="s">
        <v>108</v>
      </c>
      <c r="BB80" s="4"/>
      <c r="BC80" s="4"/>
    </row>
    <row r="81" spans="1:55" ht="24.95" customHeight="1">
      <c r="A81" s="712"/>
      <c r="B81" s="102" t="s">
        <v>259</v>
      </c>
      <c r="C81" s="73" t="s">
        <v>6671</v>
      </c>
      <c r="D81" s="73"/>
      <c r="E81" s="73"/>
      <c r="F81" s="73"/>
      <c r="G81" s="73"/>
      <c r="H81" s="73"/>
      <c r="I81" s="73"/>
      <c r="J81" s="73"/>
      <c r="K81" s="73"/>
      <c r="L81" s="73"/>
      <c r="M81" s="74"/>
      <c r="N81" s="3"/>
      <c r="O81" s="39" t="s">
        <v>175</v>
      </c>
      <c r="P81" s="3"/>
      <c r="R81" s="3"/>
      <c r="S81" s="3"/>
      <c r="T81" s="3"/>
      <c r="U81" s="3"/>
      <c r="V81" s="103" t="s">
        <v>260</v>
      </c>
      <c r="W81" s="103" t="s">
        <v>209</v>
      </c>
      <c r="X81" s="103"/>
      <c r="Y81" s="103"/>
      <c r="Z81" s="103"/>
      <c r="AA81" s="103"/>
      <c r="AB81" s="103"/>
      <c r="AC81" s="103"/>
      <c r="AD81" s="103"/>
      <c r="AE81" s="103"/>
      <c r="AF81" s="103"/>
      <c r="AH81" s="171" t="s">
        <v>261</v>
      </c>
      <c r="AI81" s="172"/>
      <c r="AJ81" s="165"/>
      <c r="AK81" s="165"/>
      <c r="AL81" s="165"/>
      <c r="AM81" s="165"/>
      <c r="AN81" s="165"/>
      <c r="AO81" s="165"/>
      <c r="AP81" s="165"/>
      <c r="AQ81" s="165"/>
      <c r="AR81" s="165"/>
      <c r="AU81" s="39" t="s">
        <v>340</v>
      </c>
      <c r="AV81" s="17" t="s">
        <v>21</v>
      </c>
      <c r="AW81" s="17">
        <v>50</v>
      </c>
      <c r="AX81" s="17" t="s">
        <v>22</v>
      </c>
      <c r="AY81" s="17" t="s">
        <v>340</v>
      </c>
      <c r="AZ81" s="153" t="s">
        <v>108</v>
      </c>
      <c r="BB81" s="4"/>
      <c r="BC81" s="4"/>
    </row>
    <row r="82" spans="1:55" ht="24.95" customHeight="1">
      <c r="A82" s="712"/>
      <c r="B82" s="102" t="s">
        <v>262</v>
      </c>
      <c r="C82" s="73" t="s">
        <v>263</v>
      </c>
      <c r="D82" s="73"/>
      <c r="E82" s="73"/>
      <c r="F82" s="73"/>
      <c r="G82" s="73"/>
      <c r="H82" s="73"/>
      <c r="I82" s="73"/>
      <c r="J82" s="73"/>
      <c r="K82" s="73"/>
      <c r="L82" s="73"/>
      <c r="M82" s="74"/>
      <c r="N82" s="3"/>
      <c r="O82" s="39" t="s">
        <v>341</v>
      </c>
      <c r="P82" s="3"/>
      <c r="Q82" s="3"/>
      <c r="R82" s="3"/>
      <c r="S82" s="3"/>
      <c r="T82" s="3"/>
      <c r="U82" s="3"/>
      <c r="V82" s="98" t="str">
        <f>IF(C81="","",C81)</f>
        <v>Exemple &gt; Tumbler (Old Fashioned)</v>
      </c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H82" s="172" t="s">
        <v>264</v>
      </c>
      <c r="AI82" s="172"/>
      <c r="AJ82" s="165"/>
      <c r="AK82" s="172"/>
      <c r="AL82" s="165"/>
      <c r="AM82" s="165"/>
      <c r="AN82" s="165"/>
      <c r="AO82" s="172"/>
      <c r="AP82" s="165"/>
      <c r="AQ82" s="165"/>
      <c r="AR82" s="165"/>
      <c r="AU82" s="39" t="s">
        <v>342</v>
      </c>
      <c r="AV82" s="17" t="s">
        <v>21</v>
      </c>
      <c r="AW82" s="17">
        <v>30</v>
      </c>
      <c r="AX82" s="17" t="s">
        <v>22</v>
      </c>
      <c r="AY82" s="17" t="s">
        <v>343</v>
      </c>
      <c r="AZ82" s="153" t="s">
        <v>108</v>
      </c>
      <c r="BB82" s="4"/>
      <c r="BC82" s="4"/>
    </row>
    <row r="83" spans="1:55" ht="24.95" customHeight="1">
      <c r="A83" s="712"/>
      <c r="B83" s="104" t="s">
        <v>267</v>
      </c>
      <c r="C83" s="105"/>
      <c r="D83" s="73"/>
      <c r="E83" s="73"/>
      <c r="F83" s="73"/>
      <c r="G83" s="73"/>
      <c r="H83" s="73"/>
      <c r="I83" s="73"/>
      <c r="J83" s="73"/>
      <c r="K83" s="73"/>
      <c r="L83" s="73"/>
      <c r="M83" s="74"/>
      <c r="N83" s="3"/>
      <c r="O83" s="39" t="s">
        <v>344</v>
      </c>
      <c r="P83" s="3"/>
      <c r="Q83" s="3"/>
      <c r="R83" s="3"/>
      <c r="S83" s="3"/>
      <c r="T83" s="3"/>
      <c r="U83" s="3"/>
      <c r="V83" s="98" t="str">
        <f>IF(C82="","",C82)</f>
        <v>Doseur / jigger ; cuillère à mélange ; bec verseur ; pince à glaçons</v>
      </c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H83" s="172" t="s">
        <v>269</v>
      </c>
      <c r="AI83" s="172"/>
      <c r="AJ83" s="173"/>
      <c r="AK83" s="173"/>
      <c r="AL83" s="165"/>
      <c r="AM83" s="165"/>
      <c r="AN83" s="165"/>
      <c r="AO83" s="165"/>
      <c r="AP83" s="165"/>
      <c r="AQ83" s="165"/>
      <c r="AR83" s="165"/>
      <c r="AU83" s="39" t="s">
        <v>345</v>
      </c>
      <c r="AV83" s="17" t="s">
        <v>21</v>
      </c>
      <c r="AW83" s="17">
        <v>568</v>
      </c>
      <c r="AX83" s="17" t="s">
        <v>22</v>
      </c>
      <c r="AY83" s="17" t="s">
        <v>346</v>
      </c>
      <c r="AZ83" s="153" t="s">
        <v>108</v>
      </c>
      <c r="BB83" s="4"/>
      <c r="BC83" s="4"/>
    </row>
    <row r="84" spans="1:55" ht="24.95" customHeight="1">
      <c r="A84" s="712"/>
      <c r="N84" s="3"/>
      <c r="O84" s="39" t="s">
        <v>179</v>
      </c>
      <c r="P84" s="3"/>
      <c r="Q84" s="3"/>
      <c r="R84" s="3"/>
      <c r="S84" s="3"/>
      <c r="T84" s="3"/>
      <c r="U84" s="3"/>
      <c r="V84" s="98" t="str">
        <f>IF(C83="","",C83)</f>
        <v/>
      </c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H84" s="168" t="s">
        <v>274</v>
      </c>
      <c r="AI84" s="165"/>
      <c r="AJ84" s="173"/>
      <c r="AK84" s="173"/>
      <c r="AL84" s="165"/>
      <c r="AM84" s="165"/>
      <c r="AN84" s="165"/>
      <c r="AO84" s="165"/>
      <c r="AP84" s="165"/>
      <c r="AQ84" s="165"/>
      <c r="AR84" s="165"/>
      <c r="AU84" s="39" t="s">
        <v>347</v>
      </c>
      <c r="AV84" s="17" t="s">
        <v>21</v>
      </c>
      <c r="AW84" s="17">
        <v>473</v>
      </c>
      <c r="AX84" s="17" t="s">
        <v>22</v>
      </c>
      <c r="AY84" s="17" t="s">
        <v>348</v>
      </c>
      <c r="AZ84" s="153" t="s">
        <v>108</v>
      </c>
      <c r="BB84" s="4"/>
      <c r="BC84" s="4"/>
    </row>
    <row r="85" spans="1:55" ht="24.95" customHeight="1">
      <c r="A85" s="713"/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7" t="s">
        <v>272</v>
      </c>
      <c r="N85" s="3"/>
      <c r="O85" s="39" t="s">
        <v>349</v>
      </c>
      <c r="P85" s="3"/>
      <c r="Q85" s="3"/>
      <c r="R85" s="3"/>
      <c r="S85" s="3"/>
      <c r="T85" s="3"/>
      <c r="U85" s="3"/>
      <c r="V85" s="108" t="s">
        <v>277</v>
      </c>
      <c r="W85" s="108"/>
      <c r="X85" s="108"/>
      <c r="Y85" s="108"/>
      <c r="Z85" s="108"/>
      <c r="AA85" s="108"/>
      <c r="AB85" s="108"/>
      <c r="AC85" s="108"/>
      <c r="AD85" s="108"/>
      <c r="AE85" s="108"/>
      <c r="AF85" s="109" t="s">
        <v>277</v>
      </c>
      <c r="AH85" s="168" t="s">
        <v>278</v>
      </c>
      <c r="AI85" s="172"/>
      <c r="AJ85" s="173"/>
      <c r="AK85" s="173"/>
      <c r="AL85" s="165"/>
      <c r="AM85" s="165"/>
      <c r="AN85" s="165"/>
      <c r="AO85" s="165"/>
      <c r="AP85" s="165"/>
      <c r="AQ85" s="165"/>
      <c r="AR85" s="165"/>
      <c r="AU85" s="39" t="s">
        <v>350</v>
      </c>
      <c r="AV85" s="17" t="s">
        <v>21</v>
      </c>
      <c r="AW85" s="17">
        <v>30</v>
      </c>
      <c r="AX85" s="17" t="s">
        <v>22</v>
      </c>
      <c r="AY85" s="17" t="s">
        <v>351</v>
      </c>
      <c r="AZ85" s="153" t="s">
        <v>108</v>
      </c>
      <c r="BB85" s="4"/>
      <c r="BC85" s="4"/>
    </row>
    <row r="86" spans="1:55" ht="24.95" customHeight="1">
      <c r="A86" s="715"/>
      <c r="B86" s="716"/>
      <c r="C86" s="716"/>
      <c r="D86" s="716"/>
      <c r="E86" s="716"/>
      <c r="F86" s="716"/>
      <c r="G86" s="716"/>
      <c r="H86" s="716"/>
      <c r="I86" s="716"/>
      <c r="J86" s="716"/>
      <c r="K86" s="716"/>
      <c r="L86" s="716"/>
      <c r="M86" s="716"/>
      <c r="N86" s="717"/>
      <c r="O86" s="39" t="s">
        <v>342</v>
      </c>
      <c r="P86" s="717"/>
      <c r="Q86" s="3"/>
      <c r="R86" s="3"/>
      <c r="S86" s="3"/>
      <c r="T86" s="3"/>
      <c r="U86" s="719"/>
      <c r="V86" s="761"/>
      <c r="W86" s="761"/>
      <c r="X86" s="761"/>
      <c r="Y86" s="720"/>
      <c r="Z86" s="721"/>
      <c r="AA86" s="721"/>
      <c r="AB86" s="721"/>
      <c r="AC86" s="721"/>
      <c r="AD86" s="721"/>
      <c r="AE86" s="721"/>
      <c r="AF86" s="721"/>
      <c r="AG86" s="719"/>
      <c r="AH86" s="718"/>
      <c r="AI86" s="718"/>
      <c r="AJ86" s="718"/>
      <c r="AK86" s="718"/>
      <c r="AL86" s="718"/>
      <c r="AM86" s="722"/>
      <c r="AN86" s="722"/>
      <c r="AO86" s="722"/>
      <c r="AP86" s="722"/>
      <c r="AQ86" s="722"/>
      <c r="AR86" s="722"/>
      <c r="AS86" s="722"/>
      <c r="AU86" s="39" t="s">
        <v>352</v>
      </c>
      <c r="AV86" s="17" t="s">
        <v>21</v>
      </c>
      <c r="AW86" s="17">
        <v>44</v>
      </c>
      <c r="AX86" s="17" t="s">
        <v>22</v>
      </c>
      <c r="AY86" s="17" t="s">
        <v>352</v>
      </c>
      <c r="AZ86" s="153" t="s">
        <v>108</v>
      </c>
      <c r="BB86" s="4"/>
      <c r="BC86" s="4"/>
    </row>
    <row r="87" spans="1:55" ht="24.9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9" t="s">
        <v>265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U87" s="39" t="s">
        <v>353</v>
      </c>
      <c r="AV87" s="17" t="s">
        <v>21</v>
      </c>
      <c r="AW87" s="17">
        <v>4</v>
      </c>
      <c r="AX87" s="17" t="s">
        <v>22</v>
      </c>
      <c r="AY87" s="17" t="s">
        <v>354</v>
      </c>
      <c r="AZ87" s="153" t="s">
        <v>108</v>
      </c>
      <c r="BB87" s="4"/>
      <c r="BC87" s="4"/>
    </row>
    <row r="88" spans="1:55" ht="24.95" customHeight="1">
      <c r="A88" s="149" t="s">
        <v>59</v>
      </c>
      <c r="B88" s="711" t="s">
        <v>60</v>
      </c>
      <c r="C88" s="711"/>
      <c r="D88" s="711"/>
      <c r="E88" s="711"/>
      <c r="F88" s="711"/>
      <c r="G88" s="711"/>
      <c r="H88" s="711"/>
      <c r="I88" s="711"/>
      <c r="J88" s="711"/>
      <c r="K88" s="711"/>
      <c r="L88" s="711"/>
      <c r="M88" s="711"/>
      <c r="N88" s="3"/>
      <c r="O88" s="39" t="s">
        <v>183</v>
      </c>
      <c r="P88" s="3"/>
      <c r="Q88" s="10" t="s">
        <v>61</v>
      </c>
      <c r="R88" s="10"/>
      <c r="S88" s="10"/>
      <c r="T88" s="10"/>
      <c r="V88" s="861" t="s">
        <v>62</v>
      </c>
      <c r="W88" s="861"/>
      <c r="X88" s="861"/>
      <c r="Y88" s="23" t="s">
        <v>63</v>
      </c>
      <c r="Z88" s="24"/>
      <c r="AA88" s="24"/>
      <c r="AB88" s="24"/>
      <c r="AC88" s="24"/>
      <c r="AD88" s="24"/>
      <c r="AE88" s="24"/>
      <c r="AF88" s="24"/>
      <c r="AH88" s="25" t="s">
        <v>64</v>
      </c>
      <c r="AI88" s="25"/>
      <c r="AJ88" s="25" t="s">
        <v>65</v>
      </c>
      <c r="AK88" s="25"/>
      <c r="AL88" s="25"/>
      <c r="AM88" s="26"/>
      <c r="AN88" s="26"/>
      <c r="AO88" s="26"/>
      <c r="AP88" s="26"/>
      <c r="AQ88" s="26"/>
      <c r="AR88" s="26"/>
      <c r="AS88" s="26"/>
      <c r="AU88" s="39" t="s">
        <v>125</v>
      </c>
      <c r="AV88" s="17" t="s">
        <v>21</v>
      </c>
      <c r="AW88" s="17">
        <v>1.5</v>
      </c>
      <c r="AX88" s="17" t="s">
        <v>22</v>
      </c>
      <c r="AY88" s="17" t="s">
        <v>129</v>
      </c>
      <c r="AZ88" s="153" t="s">
        <v>108</v>
      </c>
      <c r="BB88" s="4"/>
      <c r="BC88" s="4"/>
    </row>
    <row r="89" spans="1:55" ht="24.95" customHeight="1">
      <c r="A89" s="712"/>
      <c r="B89" s="27" t="s">
        <v>67</v>
      </c>
      <c r="C89" s="28" t="s">
        <v>7258</v>
      </c>
      <c r="D89" s="28"/>
      <c r="E89" s="27" t="s">
        <v>69</v>
      </c>
      <c r="F89" s="355" t="s">
        <v>558</v>
      </c>
      <c r="G89" s="30"/>
      <c r="H89" s="27" t="s">
        <v>71</v>
      </c>
      <c r="I89" s="356" t="s">
        <v>564</v>
      </c>
      <c r="J89" s="30"/>
      <c r="K89" s="27" t="s">
        <v>73</v>
      </c>
      <c r="L89" s="32" t="s">
        <v>6669</v>
      </c>
      <c r="M89" s="33"/>
      <c r="N89" s="3"/>
      <c r="O89" s="39" t="s">
        <v>187</v>
      </c>
      <c r="P89" s="3"/>
      <c r="Q89" s="14" t="s">
        <v>27</v>
      </c>
      <c r="R89" s="35">
        <v>10</v>
      </c>
      <c r="S89" s="15" t="s">
        <v>76</v>
      </c>
      <c r="T89" s="15"/>
      <c r="V89" s="831" t="s">
        <v>77</v>
      </c>
      <c r="W89" s="862" t="str">
        <f>C89</f>
        <v>NOM DU COCKTAIL N°3</v>
      </c>
      <c r="X89" s="862"/>
      <c r="Y89" s="862"/>
      <c r="Z89" s="36" t="s">
        <v>78</v>
      </c>
      <c r="AA89" s="24" t="str">
        <f>F89</f>
        <v>Avec ou sans Alcool</v>
      </c>
      <c r="AB89" s="24"/>
      <c r="AC89" s="831" t="s">
        <v>71</v>
      </c>
      <c r="AD89" s="37" t="str">
        <f>I89</f>
        <v xml:space="preserve">Quand </v>
      </c>
      <c r="AE89" s="831" t="s">
        <v>73</v>
      </c>
      <c r="AF89" s="24" t="str">
        <f>L89</f>
        <v>TYPE DE COCKTAIL</v>
      </c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U89" s="39" t="s">
        <v>355</v>
      </c>
      <c r="AV89" s="17" t="s">
        <v>21</v>
      </c>
      <c r="AW89" s="17">
        <v>237</v>
      </c>
      <c r="AX89" s="17" t="s">
        <v>22</v>
      </c>
      <c r="AY89" s="17" t="s">
        <v>356</v>
      </c>
      <c r="AZ89" s="153" t="s">
        <v>108</v>
      </c>
      <c r="BB89" s="4"/>
      <c r="BC89" s="4"/>
    </row>
    <row r="90" spans="1:55" ht="24.95" customHeight="1">
      <c r="A90" s="712"/>
      <c r="B90" s="27" t="s">
        <v>80</v>
      </c>
      <c r="C90" s="38" t="s">
        <v>561</v>
      </c>
      <c r="D90" s="30"/>
      <c r="E90" s="27" t="s">
        <v>82</v>
      </c>
      <c r="F90" s="39" t="s">
        <v>83</v>
      </c>
      <c r="G90" s="30"/>
      <c r="H90" s="27" t="s">
        <v>84</v>
      </c>
      <c r="I90" s="40">
        <v>1</v>
      </c>
      <c r="J90" s="41" t="s">
        <v>83</v>
      </c>
      <c r="K90" s="41"/>
      <c r="L90" s="42" t="s">
        <v>76</v>
      </c>
      <c r="M90" s="33"/>
      <c r="N90" s="3"/>
      <c r="O90" s="39" t="s">
        <v>345</v>
      </c>
      <c r="Q90" s="14" t="s">
        <v>31</v>
      </c>
      <c r="R90" s="35"/>
      <c r="S90" s="15" t="s">
        <v>86</v>
      </c>
      <c r="T90" s="15"/>
      <c r="V90" s="44" t="s">
        <v>87</v>
      </c>
      <c r="W90" s="150" t="str">
        <f>R94</f>
        <v/>
      </c>
      <c r="X90" s="43" t="s">
        <v>88</v>
      </c>
      <c r="Y90" s="43"/>
      <c r="Z90" s="44" t="s">
        <v>89</v>
      </c>
      <c r="AA90" s="45">
        <f>R96</f>
        <v>0</v>
      </c>
      <c r="AB90" s="46" t="s">
        <v>90</v>
      </c>
      <c r="AC90" s="44" t="s">
        <v>91</v>
      </c>
      <c r="AD90" s="45">
        <f>R91</f>
        <v>10</v>
      </c>
      <c r="AE90" s="47" t="s">
        <v>92</v>
      </c>
      <c r="AF90" s="43" t="str">
        <f>R98</f>
        <v>NOMBRE DE COCKTAILS</v>
      </c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U90" s="39" t="s">
        <v>305</v>
      </c>
      <c r="AV90" s="17" t="s">
        <v>21</v>
      </c>
      <c r="AW90" s="17">
        <v>45</v>
      </c>
      <c r="AX90" s="17" t="s">
        <v>22</v>
      </c>
      <c r="AY90" s="17" t="s">
        <v>357</v>
      </c>
      <c r="AZ90" s="180" t="s">
        <v>358</v>
      </c>
      <c r="BB90" s="4"/>
      <c r="BC90" s="4"/>
    </row>
    <row r="91" spans="1:55" ht="24.95" customHeight="1">
      <c r="A91" s="712"/>
      <c r="B91" s="27" t="s">
        <v>94</v>
      </c>
      <c r="C91" s="151" t="s">
        <v>6670</v>
      </c>
      <c r="D91" s="30"/>
      <c r="E91" s="30"/>
      <c r="F91" s="30"/>
      <c r="G91" s="30"/>
      <c r="H91" s="27" t="s">
        <v>96</v>
      </c>
      <c r="I91" s="48">
        <v>15</v>
      </c>
      <c r="J91" s="152" t="s">
        <v>32</v>
      </c>
      <c r="K91" s="30"/>
      <c r="L91" s="30"/>
      <c r="M91" s="33"/>
      <c r="N91" s="3"/>
      <c r="O91" s="39" t="s">
        <v>347</v>
      </c>
      <c r="Q91" s="14" t="s">
        <v>98</v>
      </c>
      <c r="R91" s="49">
        <f>IF(AND(ISNUMBER(R90),R90&gt;0),IFERROR(R90*1000/R92,0),IF(AND(ISNUMBER(R89),R89&gt;0,ISNUMBER(I90),I90&gt;0),R89/I90,1))</f>
        <v>10</v>
      </c>
      <c r="S91" s="50" t="s">
        <v>99</v>
      </c>
      <c r="T91" s="50"/>
      <c r="V91" s="44" t="s">
        <v>100</v>
      </c>
      <c r="W91" s="51">
        <f>IF(R92="","",R92/10)</f>
        <v>0</v>
      </c>
      <c r="X91" s="46" t="s">
        <v>32</v>
      </c>
      <c r="Y91" s="43"/>
      <c r="Z91" s="44" t="s">
        <v>101</v>
      </c>
      <c r="AA91" s="45" t="str">
        <f>R93</f>
        <v/>
      </c>
      <c r="AB91" s="46" t="s">
        <v>32</v>
      </c>
      <c r="AC91" s="44" t="s">
        <v>102</v>
      </c>
      <c r="AD91" s="45">
        <f>R97</f>
        <v>10</v>
      </c>
      <c r="AE91" s="51"/>
      <c r="AF91" s="4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U91" s="39" t="s">
        <v>307</v>
      </c>
      <c r="AV91" s="17" t="s">
        <v>21</v>
      </c>
      <c r="AW91" s="17">
        <v>45</v>
      </c>
      <c r="AX91" s="17" t="s">
        <v>22</v>
      </c>
      <c r="AY91" s="17" t="s">
        <v>359</v>
      </c>
      <c r="AZ91" s="180" t="s">
        <v>358</v>
      </c>
      <c r="BB91" s="4"/>
      <c r="BC91" s="4"/>
    </row>
    <row r="92" spans="1:55" ht="24.95" customHeight="1">
      <c r="A92" s="712"/>
      <c r="B92" s="27"/>
      <c r="C92" s="52" t="str">
        <f>UPPER(LEFT(C89,1)) &amp; " . " &amp; UPPER(LEFT(C89,1)) &amp; LOWER(MID(C89,2,999)) &amp; " . " &amp; UPPER(LEFT(F89,1)) &amp; LOWER(MID(F89,2,999)) &amp; " . " &amp; UPPER(LEFT(I89,1)) &amp; LOWER(MID(I89,2,999)) &amp; " . " &amp; "Verre " &amp; UPPER(LEFT(F90,1)) &amp; LOWER(MID(F90,2,999)) &amp; IF(LEFT(L89,1)=UPPER(LEFT(L89,1)),".","") &amp; UPPER(LEFT(L89,1)) &amp; LOWER(MID(L89,2,999))&amp;"  couleur"&amp;" "&amp;C90&amp;"  intensité"&amp;" "&amp;C91</f>
        <v>N . Nom du cocktail n°3 . Avec ou sans alcool . Quand  . Verre Tumbler (old fashioned).Type de cocktail  couleur Couleur dominante à coller  intensité ****  précisez</v>
      </c>
      <c r="D92" s="52"/>
      <c r="E92" s="52"/>
      <c r="F92" s="52"/>
      <c r="G92" s="52"/>
      <c r="H92" s="52"/>
      <c r="I92" s="52"/>
      <c r="J92" s="52"/>
      <c r="K92" s="52"/>
      <c r="L92" s="30"/>
      <c r="M92" s="33"/>
      <c r="N92" s="3"/>
      <c r="O92" s="39" t="s">
        <v>191</v>
      </c>
      <c r="Q92" s="14" t="s">
        <v>105</v>
      </c>
      <c r="R92" s="49">
        <f>SUMIF(AJ99:AJ105,"VOLUME",AL99:AL105)</f>
        <v>0</v>
      </c>
      <c r="S92" s="50" t="s">
        <v>22</v>
      </c>
      <c r="T92" s="50"/>
      <c r="V92" s="44" t="s">
        <v>96</v>
      </c>
      <c r="W92" s="51">
        <f>I91</f>
        <v>15</v>
      </c>
      <c r="X92" s="46" t="str">
        <f>J91</f>
        <v>cl</v>
      </c>
      <c r="Y92" s="43"/>
      <c r="Z92" s="44" t="s">
        <v>82</v>
      </c>
      <c r="AA92" s="54" t="str">
        <f>F90</f>
        <v>Tumbler (Old Fashioned)</v>
      </c>
      <c r="AB92" s="43"/>
      <c r="AC92" s="44" t="s">
        <v>106</v>
      </c>
      <c r="AD92" s="45">
        <f>R99</f>
        <v>25</v>
      </c>
      <c r="AE92" s="46" t="s">
        <v>32</v>
      </c>
      <c r="AF92" s="4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U92" s="39" t="s">
        <v>326</v>
      </c>
      <c r="AV92" s="17" t="s">
        <v>21</v>
      </c>
      <c r="AW92" s="17">
        <v>250</v>
      </c>
      <c r="AX92" s="17" t="s">
        <v>22</v>
      </c>
      <c r="AY92" s="17" t="s">
        <v>360</v>
      </c>
      <c r="AZ92" s="180" t="s">
        <v>358</v>
      </c>
      <c r="BB92" s="4"/>
      <c r="BC92" s="4"/>
    </row>
    <row r="93" spans="1:55" ht="24.95" customHeight="1">
      <c r="A93" s="712"/>
      <c r="B93" s="27" t="s">
        <v>110</v>
      </c>
      <c r="C93" s="55" t="s">
        <v>579</v>
      </c>
      <c r="D93" s="55"/>
      <c r="E93" s="154"/>
      <c r="F93" s="154"/>
      <c r="G93" s="154"/>
      <c r="H93" s="154"/>
      <c r="I93" s="154"/>
      <c r="J93" s="154"/>
      <c r="K93" s="154"/>
      <c r="L93" s="30"/>
      <c r="M93" s="33"/>
      <c r="N93" s="3"/>
      <c r="O93" s="39" t="s">
        <v>194</v>
      </c>
      <c r="Q93" s="14" t="s">
        <v>113</v>
      </c>
      <c r="R93" s="49" t="str">
        <f>IF(OR(R92=0,NOT(ISNUMBER(I90)),I90&lt;=0),"",R92/I90/10)</f>
        <v/>
      </c>
      <c r="S93" s="50" t="s">
        <v>32</v>
      </c>
      <c r="T93" s="50"/>
      <c r="V93" s="44" t="s">
        <v>114</v>
      </c>
      <c r="W93" s="51" t="str">
        <f>IF(I91="","",IF(R99="","⚠ À CONTRÔLER",IF(I91&lt;=R99,"✔ OK","❌ DÉPASSE CAPACITÉ")))</f>
        <v>✔ OK</v>
      </c>
      <c r="X93" s="43"/>
      <c r="Y93" s="43"/>
      <c r="Z93" s="44"/>
      <c r="AA93" s="56"/>
      <c r="AB93" s="43"/>
      <c r="AC93" s="43"/>
      <c r="AD93" s="46"/>
      <c r="AE93" s="46"/>
      <c r="AF93" s="4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U93" s="39" t="s">
        <v>344</v>
      </c>
      <c r="AV93" s="17" t="s">
        <v>21</v>
      </c>
      <c r="AW93" s="17">
        <v>30</v>
      </c>
      <c r="AX93" s="17" t="s">
        <v>22</v>
      </c>
      <c r="AY93" s="17" t="s">
        <v>361</v>
      </c>
      <c r="AZ93" s="180" t="s">
        <v>358</v>
      </c>
      <c r="BB93" s="4"/>
      <c r="BC93" s="4"/>
    </row>
    <row r="94" spans="1:55" ht="24.95" customHeight="1">
      <c r="A94" s="712"/>
      <c r="B94" s="30"/>
      <c r="C94" s="30"/>
      <c r="D94" s="30"/>
      <c r="E94" s="30"/>
      <c r="F94" s="30"/>
      <c r="G94" s="30"/>
      <c r="H94" s="206"/>
      <c r="I94" s="30"/>
      <c r="J94" s="30"/>
      <c r="K94" s="30"/>
      <c r="L94" s="30"/>
      <c r="M94" s="33"/>
      <c r="N94" s="3"/>
      <c r="O94" s="39" t="s">
        <v>350</v>
      </c>
      <c r="Q94" s="14" t="s">
        <v>118</v>
      </c>
      <c r="R94" s="155" t="str">
        <f>IF(AN106=0,"",SUM(AQ99:AQ105)/AN106*100)</f>
        <v/>
      </c>
      <c r="S94" s="50" t="s">
        <v>88</v>
      </c>
      <c r="T94" s="50"/>
      <c r="V94" s="44" t="s">
        <v>110</v>
      </c>
      <c r="W94" s="46" t="str">
        <f>C93</f>
        <v>Description</v>
      </c>
      <c r="X94" s="43"/>
      <c r="Y94" s="43"/>
      <c r="Z94" s="44"/>
      <c r="AA94" s="56"/>
      <c r="AB94" s="43"/>
      <c r="AC94" s="43"/>
      <c r="AD94" s="46"/>
      <c r="AE94" s="46"/>
      <c r="AF94" s="4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U94" s="39" t="s">
        <v>362</v>
      </c>
      <c r="AV94" s="17" t="s">
        <v>21</v>
      </c>
      <c r="AW94" s="17">
        <v>150</v>
      </c>
      <c r="AX94" s="17" t="s">
        <v>22</v>
      </c>
      <c r="AY94" s="17" t="s">
        <v>362</v>
      </c>
      <c r="AZ94" s="180" t="s">
        <v>358</v>
      </c>
      <c r="BB94" s="4"/>
      <c r="BC94" s="4"/>
    </row>
    <row r="95" spans="1:55" ht="24.95" customHeight="1">
      <c r="A95" s="712"/>
      <c r="B95" s="57" t="s">
        <v>121</v>
      </c>
      <c r="C95" s="58" t="s">
        <v>568</v>
      </c>
      <c r="D95" s="58"/>
      <c r="E95" s="59"/>
      <c r="F95" s="57" t="s">
        <v>123</v>
      </c>
      <c r="G95" s="58"/>
      <c r="H95" s="60"/>
      <c r="I95" s="60"/>
      <c r="J95" s="61"/>
      <c r="K95" s="61"/>
      <c r="L95" s="61"/>
      <c r="M95" s="62"/>
      <c r="N95" s="3"/>
      <c r="O95" s="39" t="s">
        <v>363</v>
      </c>
      <c r="Q95" s="14" t="s">
        <v>126</v>
      </c>
      <c r="R95" s="156">
        <f>SUM(AR99:AR105)</f>
        <v>0</v>
      </c>
      <c r="S95" s="50" t="s">
        <v>90</v>
      </c>
      <c r="T95" s="50"/>
      <c r="V95" s="44" t="s">
        <v>121</v>
      </c>
      <c r="W95" s="46" t="str">
        <f>C95</f>
        <v>VOUS</v>
      </c>
      <c r="X95" s="43"/>
      <c r="Y95" s="43"/>
      <c r="Z95" s="44" t="s">
        <v>94</v>
      </c>
      <c r="AA95" s="54" t="str">
        <f>C91</f>
        <v>****  précisez</v>
      </c>
      <c r="AB95" s="43"/>
      <c r="AC95" s="759" t="str">
        <f>UPPER(LEFT(C89,1))&amp;" . "&amp;UPPER(LEFT(C89,1))&amp;LOWER(MID(C89,2,999))&amp;" . "&amp;UPPER(LEFT(F89,1))&amp;LOWER(MID(F89,2,999))&amp;" . "&amp;UPPER(LEFT(I89,1))&amp;LOWER(MID(I89,2,999))&amp;" . "&amp;"Verre "&amp;UPPER(LEFT(F90,1))&amp;LOWER(MID(F90,2,999))&amp;IF(LEFT(L89,1)=UPPER(LEFT(L89,1)),".","")&amp;UPPER(LEFT(L89,1))&amp;LOWER(MID(L89,2,999))&amp;"  couleur "&amp;C90&amp;"  intensité "&amp;C91</f>
        <v>N . Nom du cocktail n°3 . Avec ou sans alcool . Quand  . Verre Tumbler (old fashioned).Type de cocktail  couleur Couleur dominante à coller  intensité ****  précisez</v>
      </c>
      <c r="AD95" s="759"/>
      <c r="AE95" s="759"/>
      <c r="AF95" s="759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U95" s="39" t="s">
        <v>364</v>
      </c>
      <c r="AV95" s="17" t="s">
        <v>21</v>
      </c>
      <c r="AW95" s="17">
        <v>40</v>
      </c>
      <c r="AX95" s="17" t="s">
        <v>22</v>
      </c>
      <c r="AY95" s="17" t="s">
        <v>365</v>
      </c>
      <c r="AZ95" s="180" t="s">
        <v>358</v>
      </c>
      <c r="BB95" s="4"/>
      <c r="BC95" s="4"/>
    </row>
    <row r="96" spans="1:55" ht="24.95" customHeight="1">
      <c r="A96" s="712"/>
      <c r="B96" s="10" t="s">
        <v>131</v>
      </c>
      <c r="C96" s="10" t="s">
        <v>132</v>
      </c>
      <c r="D96" s="10"/>
      <c r="E96" s="10"/>
      <c r="F96" s="10"/>
      <c r="G96" s="10"/>
      <c r="H96" s="10"/>
      <c r="I96" s="10"/>
      <c r="J96" s="11" t="str">
        <f>IF(COUNTIF(C98:C104,"*~**")+COUNTIF(C98:C104,"*~?*")=0,"",IF(COUNTIF(C98:C104,"*~**")&gt;0,COUNTIF(C98:C104,"*~**")&amp;" allergène"&amp;IF(COUNTIF(C98:C104,"*~**")&gt;1,"s","")&amp;" repéré"&amp;IF(COUNTIF(C98:C104,"*~**")&gt;1,"s","")&amp;" par *","")&amp;IF(AND(COUNTIF(C98:C104,"*~**")&gt;0,COUNTIF(C98:C104,"*~?*")&gt;0)," | ","")&amp;IF(COUNTIF(C98:C104,"*~?*")&gt;0,COUNTIF(C98:C104,"*~?*")&amp;" produit"&amp;IF(COUNTIF(C98:C104,"*~?*")&gt;1,"s","")&amp;" à vérifier par ?",""))</f>
        <v/>
      </c>
      <c r="K96" s="10"/>
      <c r="L96" s="10"/>
      <c r="M96" s="63"/>
      <c r="N96" s="3"/>
      <c r="O96" s="39" t="s">
        <v>366</v>
      </c>
      <c r="Q96" s="14" t="s">
        <v>134</v>
      </c>
      <c r="R96" s="156">
        <f>IF(OR(R95="",R97="",R97=0),"",R95/R97)</f>
        <v>0</v>
      </c>
      <c r="S96" s="50" t="s">
        <v>135</v>
      </c>
      <c r="T96" s="50"/>
      <c r="V96" s="852" t="s">
        <v>136</v>
      </c>
      <c r="W96" s="853">
        <f>R95</f>
        <v>0</v>
      </c>
      <c r="X96" s="854" t="s">
        <v>90</v>
      </c>
      <c r="Y96" s="43"/>
      <c r="Z96" s="44" t="s">
        <v>137</v>
      </c>
      <c r="AA96" s="54" t="str">
        <f>C89</f>
        <v>NOM DU COCKTAIL N°3</v>
      </c>
      <c r="AB96" s="43"/>
      <c r="AC96" s="759"/>
      <c r="AD96" s="759"/>
      <c r="AE96" s="759"/>
      <c r="AF96" s="759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U96" s="39" t="s">
        <v>367</v>
      </c>
      <c r="AV96" s="17" t="s">
        <v>21</v>
      </c>
      <c r="AW96" s="17">
        <v>150</v>
      </c>
      <c r="AX96" s="17" t="s">
        <v>22</v>
      </c>
      <c r="AY96" s="17" t="s">
        <v>368</v>
      </c>
      <c r="AZ96" s="180" t="s">
        <v>358</v>
      </c>
      <c r="BB96" s="4"/>
      <c r="BC96" s="4"/>
    </row>
    <row r="97" spans="1:55" ht="24.95" customHeight="1">
      <c r="A97" s="712"/>
      <c r="B97" s="66">
        <v>0</v>
      </c>
      <c r="C97" s="64" t="s">
        <v>141</v>
      </c>
      <c r="D97" s="65" t="s">
        <v>142</v>
      </c>
      <c r="E97" s="64" t="s">
        <v>9</v>
      </c>
      <c r="F97" s="66" t="s">
        <v>143</v>
      </c>
      <c r="G97" s="66" t="s">
        <v>144</v>
      </c>
      <c r="H97" s="66" t="s">
        <v>145</v>
      </c>
      <c r="I97" s="67" t="s">
        <v>146</v>
      </c>
      <c r="J97" s="67" t="s">
        <v>847</v>
      </c>
      <c r="K97" s="67" t="s">
        <v>148</v>
      </c>
      <c r="L97" s="67" t="s">
        <v>149</v>
      </c>
      <c r="M97" s="68" t="s">
        <v>150</v>
      </c>
      <c r="N97" s="3"/>
      <c r="O97" s="39" t="s">
        <v>369</v>
      </c>
      <c r="Q97" s="14" t="s">
        <v>152</v>
      </c>
      <c r="R97" s="49">
        <f>IF(AND(ISNUMBER(R90),R90&gt;0,ISNUMBER(I91),I91&gt;0),R90*1000/(I91*10),IF(AND(ISNUMBER(R89),R89&gt;0),R89,""))</f>
        <v>10</v>
      </c>
      <c r="S97" s="50" t="s">
        <v>76</v>
      </c>
      <c r="T97" s="50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H97" s="25" t="s">
        <v>153</v>
      </c>
      <c r="AI97" s="25"/>
      <c r="AJ97" s="25" t="s">
        <v>490</v>
      </c>
      <c r="AK97" s="25"/>
      <c r="AL97" s="25"/>
      <c r="AM97" s="25"/>
      <c r="AN97" s="26"/>
      <c r="AO97" s="26"/>
      <c r="AP97" s="26"/>
      <c r="AQ97" s="26"/>
      <c r="AR97" s="26"/>
      <c r="AS97" s="26"/>
      <c r="AU97" s="39" t="s">
        <v>370</v>
      </c>
      <c r="AV97" s="17" t="s">
        <v>21</v>
      </c>
      <c r="AW97" s="17">
        <v>45</v>
      </c>
      <c r="AX97" s="17" t="s">
        <v>22</v>
      </c>
      <c r="AY97" s="17" t="s">
        <v>371</v>
      </c>
      <c r="AZ97" s="180" t="s">
        <v>358</v>
      </c>
      <c r="BB97" s="4"/>
      <c r="BC97" s="4"/>
    </row>
    <row r="98" spans="1:55" ht="24.95" customHeight="1">
      <c r="A98" s="712"/>
      <c r="B98" s="158">
        <v>1</v>
      </c>
      <c r="C98" s="70"/>
      <c r="D98" s="79"/>
      <c r="E98" s="3"/>
      <c r="F98" s="72"/>
      <c r="G98" s="159"/>
      <c r="H98" s="160"/>
      <c r="I98" s="161"/>
      <c r="J98" s="73" t="s">
        <v>849</v>
      </c>
      <c r="K98" s="73"/>
      <c r="L98" s="73"/>
      <c r="M98" s="74"/>
      <c r="N98" s="3"/>
      <c r="O98" s="39" t="s">
        <v>362</v>
      </c>
      <c r="Q98" s="14" t="s">
        <v>158</v>
      </c>
      <c r="R98" s="75" t="str">
        <f>IF(AND(ISNUMBER(R90),R90&gt;0),"VOLUME TOTAL",IF(AND(ISNUMBER(R89),R89&gt;0),"NOMBRE DE COCKTAILS","RÉFÉRENCE"))</f>
        <v>NOMBRE DE COCKTAILS</v>
      </c>
      <c r="S98" s="50"/>
      <c r="T98" s="50"/>
      <c r="V98" s="831" t="s">
        <v>159</v>
      </c>
      <c r="W98" s="36" t="s">
        <v>160</v>
      </c>
      <c r="X98" s="76" t="s">
        <v>161</v>
      </c>
      <c r="Y98" s="835" t="s">
        <v>162</v>
      </c>
      <c r="Z98" s="838" t="s">
        <v>163</v>
      </c>
      <c r="AA98" s="36" t="s">
        <v>164</v>
      </c>
      <c r="AB98" s="36" t="s">
        <v>9</v>
      </c>
      <c r="AC98" s="841" t="s">
        <v>165</v>
      </c>
      <c r="AD98" s="296" t="s">
        <v>166</v>
      </c>
      <c r="AE98" s="36" t="s">
        <v>146</v>
      </c>
      <c r="AF98" s="833" t="s">
        <v>167</v>
      </c>
      <c r="AH98" s="77" t="s">
        <v>168</v>
      </c>
      <c r="AI98" s="78" t="s">
        <v>159</v>
      </c>
      <c r="AJ98" s="77" t="s">
        <v>10</v>
      </c>
      <c r="AK98" s="77" t="s">
        <v>169</v>
      </c>
      <c r="AL98" s="77" t="s">
        <v>170</v>
      </c>
      <c r="AM98" s="77" t="s">
        <v>91</v>
      </c>
      <c r="AN98" s="78" t="s">
        <v>161</v>
      </c>
      <c r="AO98" s="77" t="s">
        <v>171</v>
      </c>
      <c r="AP98" s="77" t="s">
        <v>172</v>
      </c>
      <c r="AQ98" s="77" t="s">
        <v>165</v>
      </c>
      <c r="AR98" s="77" t="s">
        <v>167</v>
      </c>
      <c r="AS98" s="77" t="s">
        <v>173</v>
      </c>
      <c r="AU98" s="39" t="s">
        <v>372</v>
      </c>
      <c r="AV98" s="17" t="s">
        <v>21</v>
      </c>
      <c r="AW98" s="17">
        <v>180</v>
      </c>
      <c r="AX98" s="17" t="s">
        <v>22</v>
      </c>
      <c r="AY98" s="17" t="s">
        <v>373</v>
      </c>
      <c r="AZ98" s="180" t="s">
        <v>358</v>
      </c>
      <c r="BB98" s="4"/>
      <c r="BC98" s="4"/>
    </row>
    <row r="99" spans="1:55" ht="24.95" customHeight="1">
      <c r="A99" s="712"/>
      <c r="B99" s="162">
        <v>2</v>
      </c>
      <c r="C99" s="70"/>
      <c r="D99" s="79"/>
      <c r="E99" s="3"/>
      <c r="F99" s="72"/>
      <c r="G99" s="159"/>
      <c r="H99" s="160"/>
      <c r="I99" s="161"/>
      <c r="J99" s="73" t="s">
        <v>6989</v>
      </c>
      <c r="K99" s="73"/>
      <c r="L99" s="73"/>
      <c r="M99" s="74"/>
      <c r="N99" s="3"/>
      <c r="O99" s="39" t="s">
        <v>364</v>
      </c>
      <c r="Q99" s="14" t="s">
        <v>35</v>
      </c>
      <c r="R99" s="35">
        <f>IFERROR(VLOOKUP(F90,$BB$5:$BC$40,2,FALSE),"")</f>
        <v>25</v>
      </c>
      <c r="S99" s="50" t="s">
        <v>32</v>
      </c>
      <c r="T99" s="50"/>
      <c r="V99" s="846" t="str">
        <f t="shared" ref="V99:V105" si="44">IF(AI99="","",AI99)</f>
        <v/>
      </c>
      <c r="W99" s="848" t="str">
        <f t="shared" ref="W99:W105" si="45">IF(C98="","",IF(H98="QS","QS",D98&amp;" "&amp;E98))</f>
        <v/>
      </c>
      <c r="X99" s="81" t="str">
        <f t="shared" ref="X99:X105" si="46">IF(AN99="","",AN99)</f>
        <v/>
      </c>
      <c r="Y99" s="836" t="str">
        <f t="shared" ref="Y99:Y105" si="47">IF(C98="","",IF(H98="QS","Qt. suffisante",IF(AN99="","",IF(AJ99="VOLUME",IF(AN99&gt;=1000,TEXT(AO99,"0.00")&amp;" "&amp;AP99,IF(AN99&gt;=10,TEXT(AO99,"0.0")&amp;" "&amp;AP99&amp;" ► "&amp;TEXT(AN99/1000,"0.000")&amp;" L",TEXT(AO99,"0.0")&amp;" "&amp;AP99)),IF(AJ99="MASSE",TEXT(AO99,"0.00")&amp;" "&amp;AP99,AO99&amp;" "&amp;AP99)))))</f>
        <v/>
      </c>
      <c r="Z99" s="839" t="str">
        <f>IF(OR(C98="",AJ99&lt;&gt;"VOLUME",AN106=0),"","≈ "&amp;TEXT(ROUND(AN99/AN106*10*2,0)/2,"0.0")&amp;"/10")</f>
        <v/>
      </c>
      <c r="AA99" s="82" t="str">
        <f t="shared" ref="AA99:AA105" si="48">IF(AJ99="AUTRE",AO99,"")</f>
        <v/>
      </c>
      <c r="AB99" s="83" t="str">
        <f t="shared" ref="AB99:AB105" si="49">IF(C98="","",AP99)</f>
        <v/>
      </c>
      <c r="AC99" s="842" t="str">
        <f t="shared" ref="AC99:AC105" si="50">IF(C98="","",AQ99)</f>
        <v/>
      </c>
      <c r="AD99" s="163" t="str">
        <f t="shared" ref="AD99:AD105" si="51">IF(C98="","",IF(ISNUMBER(F98),F98,0))</f>
        <v/>
      </c>
      <c r="AE99" s="164" t="str">
        <f t="shared" ref="AE99:AE105" si="52">IF(C98="","",IF(ISNUMBER(I98),I98,""))</f>
        <v/>
      </c>
      <c r="AF99" s="855" t="str">
        <f t="shared" ref="AF99:AF105" si="53">IF(C98="","",AR99)</f>
        <v/>
      </c>
      <c r="AH99" s="84" t="str">
        <f t="shared" ref="AH99:AH105" si="54">IF(C98="","",B98)</f>
        <v/>
      </c>
      <c r="AI99" s="85" t="str">
        <f t="shared" ref="AI99:AI105" si="55">IF(C98="","",C98)</f>
        <v/>
      </c>
      <c r="AJ99" s="84" t="str">
        <f t="shared" ref="AJ99:AJ105" si="56">IF(C98="","",IFERROR(VLOOKUP(E98,$AU$5:$AY$121,2,FALSE),"UNITÉ ?"))</f>
        <v/>
      </c>
      <c r="AK99" s="84" t="str">
        <f t="shared" ref="AK99:AK105" si="57">IF(C98="","",IFERROR(VLOOKUP(E98,$AU$5:$AY$121,3,FALSE),""))</f>
        <v/>
      </c>
      <c r="AL99" s="84" t="str">
        <f t="shared" ref="AL99:AL105" si="58">IF(OR(C98="",H98="QS",NOT(ISNUMBER(D98))),"",D98*AK99)</f>
        <v/>
      </c>
      <c r="AM99" s="84" t="str">
        <f>IF(C98="","",R91)</f>
        <v/>
      </c>
      <c r="AN99" s="84" t="str">
        <f t="shared" ref="AN99:AN105" si="59">IF(C98="","",IF(H98="QS","",IF(AL99="","",IF(OR(H98="F",H98="FIXE"),AL99,AL99*AM99))))</f>
        <v/>
      </c>
      <c r="AO99" s="84" t="str">
        <f t="shared" ref="AO99:AO105" si="60">IF(C98="","",IF(H98="QS","",IF(AN99="","",IF(AJ99="VOLUME",IF(AN99&gt;=1000,ROUND(AN99/1000,2),IF(AN99&gt;=10,ROUND(AN99/10,1),ROUND(AN99,1))),IF(AJ99="MASSE",IF(AN99&gt;=1000,ROUND(AN99/1000,2),ROUND(AN99,0)),ROUND(AN99,2))))))</f>
        <v/>
      </c>
      <c r="AP99" s="84" t="str">
        <f t="shared" ref="AP99:AP105" si="61">IF(C98="","",IF(H98="QS","",IF(AN99="","",IF(AJ99="VOLUME",IF(AN99&gt;=1000,"L",IF(AN99&gt;=10,"cl","ml")),IF(AJ99="MASSE",IF(AN99&gt;=1000,"Kg","g"),IFERROR(VLOOKUP(E98,$AU$5:$AY$121,5,FALSE),E98))))))</f>
        <v/>
      </c>
      <c r="AQ99" s="84" t="str">
        <f t="shared" ref="AQ99:AQ105" si="62">IF(C98="","",IF(OR(AJ99&lt;&gt;"VOLUME",NOT(ISNUMBER(F98)),AN99=""),0,AN99*F98/100))</f>
        <v/>
      </c>
      <c r="AR99" s="84" t="str">
        <f t="shared" ref="AR99:AR105" si="63">IF(C98="","",IF(H98="QS",0,IF(NOT(ISNUMBER(I98)),0,IF(OR(AJ99="VOLUME",AJ99="MASSE"),AN99/1000*I98,AN99*I98))))</f>
        <v/>
      </c>
      <c r="AS99" s="84" t="str">
        <f t="shared" ref="AS99:AS105" si="64">IF(C98="","",IF(H98="QS","OK",IF(NOT(ISNUMBER(D98)),"QUANTITÉ ?",IF(E98="","UNITÉ ?",IF(AJ99="UNITÉ ?","UNITÉ ?",IF(AND(H98&lt;&gt;"",H98&lt;&gt;"PROP",H98&lt;&gt;"F",H98&lt;&gt;"FIXE",H98&lt;&gt;"QS"),"RÈGLE ?","OK"))))))</f>
        <v/>
      </c>
      <c r="AU99" s="39" t="s">
        <v>268</v>
      </c>
      <c r="AV99" s="17" t="s">
        <v>21</v>
      </c>
      <c r="AW99" s="17">
        <v>240</v>
      </c>
      <c r="AX99" s="17" t="s">
        <v>22</v>
      </c>
      <c r="AY99" s="17" t="s">
        <v>374</v>
      </c>
      <c r="AZ99" s="181" t="s">
        <v>375</v>
      </c>
      <c r="BB99" s="4"/>
      <c r="BC99" s="4"/>
    </row>
    <row r="100" spans="1:55" ht="24.95" customHeight="1">
      <c r="A100" s="712"/>
      <c r="B100" s="158">
        <v>3</v>
      </c>
      <c r="C100" s="70"/>
      <c r="D100" s="79"/>
      <c r="E100" s="3"/>
      <c r="F100" s="72"/>
      <c r="G100" s="159"/>
      <c r="H100" s="160"/>
      <c r="I100" s="161"/>
      <c r="J100" s="73" t="s">
        <v>6990</v>
      </c>
      <c r="K100" s="73"/>
      <c r="L100" s="73"/>
      <c r="M100" s="74"/>
      <c r="N100" s="3"/>
      <c r="O100" s="39" t="s">
        <v>367</v>
      </c>
      <c r="V100" s="846" t="str">
        <f t="shared" si="44"/>
        <v/>
      </c>
      <c r="W100" s="848" t="str">
        <f t="shared" si="45"/>
        <v/>
      </c>
      <c r="X100" s="81" t="str">
        <f t="shared" si="46"/>
        <v/>
      </c>
      <c r="Y100" s="836" t="str">
        <f t="shared" si="47"/>
        <v/>
      </c>
      <c r="Z100" s="839" t="str">
        <f>IF(OR(C99="",AJ100&lt;&gt;"VOLUME",AN106=0),"","≈ "&amp;TEXT(ROUND(AN100/AN106*10*2,0)/2,"0.0")&amp;"/10")</f>
        <v/>
      </c>
      <c r="AA100" s="82" t="str">
        <f t="shared" si="48"/>
        <v/>
      </c>
      <c r="AB100" s="83" t="str">
        <f t="shared" si="49"/>
        <v/>
      </c>
      <c r="AC100" s="842" t="str">
        <f t="shared" si="50"/>
        <v/>
      </c>
      <c r="AD100" s="163" t="str">
        <f t="shared" si="51"/>
        <v/>
      </c>
      <c r="AE100" s="164" t="str">
        <f t="shared" si="52"/>
        <v/>
      </c>
      <c r="AF100" s="855" t="str">
        <f t="shared" si="53"/>
        <v/>
      </c>
      <c r="AH100" s="84" t="str">
        <f t="shared" si="54"/>
        <v/>
      </c>
      <c r="AI100" s="85" t="str">
        <f t="shared" si="55"/>
        <v/>
      </c>
      <c r="AJ100" s="84" t="str">
        <f t="shared" si="56"/>
        <v/>
      </c>
      <c r="AK100" s="84" t="str">
        <f t="shared" si="57"/>
        <v/>
      </c>
      <c r="AL100" s="84" t="str">
        <f t="shared" si="58"/>
        <v/>
      </c>
      <c r="AM100" s="84" t="str">
        <f>IF(C99="","",R91)</f>
        <v/>
      </c>
      <c r="AN100" s="84" t="str">
        <f t="shared" si="59"/>
        <v/>
      </c>
      <c r="AO100" s="84" t="str">
        <f t="shared" si="60"/>
        <v/>
      </c>
      <c r="AP100" s="84" t="str">
        <f t="shared" si="61"/>
        <v/>
      </c>
      <c r="AQ100" s="84" t="str">
        <f t="shared" si="62"/>
        <v/>
      </c>
      <c r="AR100" s="84" t="str">
        <f t="shared" si="63"/>
        <v/>
      </c>
      <c r="AS100" s="84" t="str">
        <f t="shared" si="64"/>
        <v/>
      </c>
      <c r="AU100" s="39" t="s">
        <v>273</v>
      </c>
      <c r="AV100" s="17" t="s">
        <v>21</v>
      </c>
      <c r="AW100" s="17">
        <v>300</v>
      </c>
      <c r="AX100" s="17" t="s">
        <v>22</v>
      </c>
      <c r="AY100" s="17" t="s">
        <v>376</v>
      </c>
      <c r="AZ100" s="181" t="s">
        <v>375</v>
      </c>
      <c r="BB100" s="4"/>
      <c r="BC100" s="4"/>
    </row>
    <row r="101" spans="1:55" ht="24.95" customHeight="1">
      <c r="A101" s="712"/>
      <c r="B101" s="162">
        <v>4</v>
      </c>
      <c r="C101" s="70"/>
      <c r="D101" s="79"/>
      <c r="E101" s="3"/>
      <c r="F101" s="72"/>
      <c r="G101" s="159"/>
      <c r="H101" s="160"/>
      <c r="I101" s="161"/>
      <c r="J101" s="73" t="s">
        <v>6991</v>
      </c>
      <c r="K101" s="73"/>
      <c r="L101" s="73"/>
      <c r="M101" s="74"/>
      <c r="N101" s="3"/>
      <c r="O101" s="39" t="s">
        <v>352</v>
      </c>
      <c r="Q101" s="744" t="s">
        <v>566</v>
      </c>
      <c r="V101" s="846" t="str">
        <f t="shared" si="44"/>
        <v/>
      </c>
      <c r="W101" s="848" t="str">
        <f t="shared" si="45"/>
        <v/>
      </c>
      <c r="X101" s="81" t="str">
        <f t="shared" si="46"/>
        <v/>
      </c>
      <c r="Y101" s="836" t="str">
        <f t="shared" si="47"/>
        <v/>
      </c>
      <c r="Z101" s="839" t="str">
        <f>IF(OR(C100="",AJ101&lt;&gt;"VOLUME",AN106=0),"","≈ "&amp;TEXT(ROUND(AN101/AN106*10*2,0)/2,"0.0")&amp;"/10")</f>
        <v/>
      </c>
      <c r="AA101" s="82" t="str">
        <f t="shared" si="48"/>
        <v/>
      </c>
      <c r="AB101" s="83" t="str">
        <f t="shared" si="49"/>
        <v/>
      </c>
      <c r="AC101" s="842" t="str">
        <f t="shared" si="50"/>
        <v/>
      </c>
      <c r="AD101" s="163" t="str">
        <f t="shared" si="51"/>
        <v/>
      </c>
      <c r="AE101" s="164" t="str">
        <f t="shared" si="52"/>
        <v/>
      </c>
      <c r="AF101" s="855" t="str">
        <f t="shared" si="53"/>
        <v/>
      </c>
      <c r="AH101" s="84" t="str">
        <f t="shared" si="54"/>
        <v/>
      </c>
      <c r="AI101" s="85" t="str">
        <f t="shared" si="55"/>
        <v/>
      </c>
      <c r="AJ101" s="84" t="str">
        <f t="shared" si="56"/>
        <v/>
      </c>
      <c r="AK101" s="84" t="str">
        <f t="shared" si="57"/>
        <v/>
      </c>
      <c r="AL101" s="84" t="str">
        <f t="shared" si="58"/>
        <v/>
      </c>
      <c r="AM101" s="84" t="str">
        <f>IF(C100="","",R91)</f>
        <v/>
      </c>
      <c r="AN101" s="84" t="str">
        <f t="shared" si="59"/>
        <v/>
      </c>
      <c r="AO101" s="84" t="str">
        <f t="shared" si="60"/>
        <v/>
      </c>
      <c r="AP101" s="84" t="str">
        <f t="shared" si="61"/>
        <v/>
      </c>
      <c r="AQ101" s="84" t="str">
        <f t="shared" si="62"/>
        <v/>
      </c>
      <c r="AR101" s="84" t="str">
        <f t="shared" si="63"/>
        <v/>
      </c>
      <c r="AS101" s="84" t="str">
        <f t="shared" si="64"/>
        <v/>
      </c>
      <c r="AU101" s="39" t="s">
        <v>29</v>
      </c>
      <c r="AV101" s="17" t="s">
        <v>21</v>
      </c>
      <c r="AW101" s="17">
        <v>350</v>
      </c>
      <c r="AX101" s="17" t="s">
        <v>22</v>
      </c>
      <c r="AY101" s="17" t="s">
        <v>377</v>
      </c>
      <c r="AZ101" s="181" t="s">
        <v>375</v>
      </c>
      <c r="BB101" s="4"/>
      <c r="BC101" s="4"/>
    </row>
    <row r="102" spans="1:55" ht="24.95" customHeight="1">
      <c r="A102" s="712"/>
      <c r="B102" s="158">
        <v>5</v>
      </c>
      <c r="C102" s="70"/>
      <c r="D102" s="79"/>
      <c r="E102" s="3"/>
      <c r="F102" s="72"/>
      <c r="G102" s="159"/>
      <c r="H102" s="160"/>
      <c r="I102" s="161"/>
      <c r="J102" s="73" t="s">
        <v>6992</v>
      </c>
      <c r="K102" s="73"/>
      <c r="L102" s="73"/>
      <c r="M102" s="74"/>
      <c r="N102" s="3"/>
      <c r="O102" s="39" t="s">
        <v>378</v>
      </c>
      <c r="Q102" s="744"/>
      <c r="V102" s="846" t="str">
        <f t="shared" si="44"/>
        <v/>
      </c>
      <c r="W102" s="848" t="str">
        <f t="shared" si="45"/>
        <v/>
      </c>
      <c r="X102" s="81" t="str">
        <f t="shared" si="46"/>
        <v/>
      </c>
      <c r="Y102" s="836" t="str">
        <f t="shared" si="47"/>
        <v/>
      </c>
      <c r="Z102" s="839" t="str">
        <f>IF(OR(C101="",AJ102&lt;&gt;"VOLUME",AN106=0),"","≈ "&amp;TEXT(ROUND(AN102/AN106*10*2,0)/2,"0.0")&amp;"/10")</f>
        <v/>
      </c>
      <c r="AA102" s="82" t="str">
        <f t="shared" si="48"/>
        <v/>
      </c>
      <c r="AB102" s="83" t="str">
        <f t="shared" si="49"/>
        <v/>
      </c>
      <c r="AC102" s="842" t="str">
        <f t="shared" si="50"/>
        <v/>
      </c>
      <c r="AD102" s="163" t="str">
        <f t="shared" si="51"/>
        <v/>
      </c>
      <c r="AE102" s="164" t="str">
        <f t="shared" si="52"/>
        <v/>
      </c>
      <c r="AF102" s="855" t="str">
        <f t="shared" si="53"/>
        <v/>
      </c>
      <c r="AH102" s="84" t="str">
        <f t="shared" si="54"/>
        <v/>
      </c>
      <c r="AI102" s="85" t="str">
        <f t="shared" si="55"/>
        <v/>
      </c>
      <c r="AJ102" s="84" t="str">
        <f t="shared" si="56"/>
        <v/>
      </c>
      <c r="AK102" s="84" t="str">
        <f t="shared" si="57"/>
        <v/>
      </c>
      <c r="AL102" s="84" t="str">
        <f t="shared" si="58"/>
        <v/>
      </c>
      <c r="AM102" s="84" t="str">
        <f>IF(C101="","",R91)</f>
        <v/>
      </c>
      <c r="AN102" s="84" t="str">
        <f t="shared" si="59"/>
        <v/>
      </c>
      <c r="AO102" s="84" t="str">
        <f t="shared" si="60"/>
        <v/>
      </c>
      <c r="AP102" s="84" t="str">
        <f t="shared" si="61"/>
        <v/>
      </c>
      <c r="AQ102" s="84" t="str">
        <f t="shared" si="62"/>
        <v/>
      </c>
      <c r="AR102" s="84" t="str">
        <f t="shared" si="63"/>
        <v/>
      </c>
      <c r="AS102" s="84" t="str">
        <f t="shared" si="64"/>
        <v/>
      </c>
      <c r="AU102" s="39" t="s">
        <v>280</v>
      </c>
      <c r="AV102" s="17" t="s">
        <v>21</v>
      </c>
      <c r="AW102" s="17">
        <v>350</v>
      </c>
      <c r="AX102" s="17" t="s">
        <v>22</v>
      </c>
      <c r="AY102" s="17" t="s">
        <v>280</v>
      </c>
      <c r="AZ102" s="181" t="s">
        <v>375</v>
      </c>
      <c r="BB102" s="4"/>
      <c r="BC102" s="4"/>
    </row>
    <row r="103" spans="1:55" ht="24.95" customHeight="1">
      <c r="A103" s="712"/>
      <c r="B103" s="162"/>
      <c r="C103" s="70"/>
      <c r="D103" s="79"/>
      <c r="E103" s="3"/>
      <c r="F103" s="72"/>
      <c r="G103" s="159"/>
      <c r="H103" s="160"/>
      <c r="I103" s="161"/>
      <c r="J103" s="73" t="s">
        <v>243</v>
      </c>
      <c r="K103" s="73"/>
      <c r="L103" s="73"/>
      <c r="M103" s="74"/>
      <c r="N103" s="3"/>
      <c r="O103" s="39" t="s">
        <v>249</v>
      </c>
      <c r="V103" s="846" t="str">
        <f t="shared" si="44"/>
        <v/>
      </c>
      <c r="W103" s="848" t="str">
        <f t="shared" si="45"/>
        <v/>
      </c>
      <c r="X103" s="81" t="str">
        <f t="shared" si="46"/>
        <v/>
      </c>
      <c r="Y103" s="836" t="str">
        <f t="shared" si="47"/>
        <v/>
      </c>
      <c r="Z103" s="839" t="str">
        <f>IF(OR(C102="",AJ103&lt;&gt;"VOLUME",AN106=0),"","≈ "&amp;TEXT(ROUND(AN103/AN106*10*2,0)/2,"0.0")&amp;"/10")</f>
        <v/>
      </c>
      <c r="AA103" s="80" t="str">
        <f t="shared" si="48"/>
        <v/>
      </c>
      <c r="AB103" s="83" t="str">
        <f t="shared" si="49"/>
        <v/>
      </c>
      <c r="AC103" s="842" t="str">
        <f t="shared" si="50"/>
        <v/>
      </c>
      <c r="AD103" s="163" t="str">
        <f t="shared" si="51"/>
        <v/>
      </c>
      <c r="AE103" s="164" t="str">
        <f t="shared" si="52"/>
        <v/>
      </c>
      <c r="AF103" s="855" t="str">
        <f t="shared" si="53"/>
        <v/>
      </c>
      <c r="AH103" s="84" t="str">
        <f t="shared" si="54"/>
        <v/>
      </c>
      <c r="AI103" s="85" t="str">
        <f t="shared" si="55"/>
        <v/>
      </c>
      <c r="AJ103" s="84" t="str">
        <f t="shared" si="56"/>
        <v/>
      </c>
      <c r="AK103" s="84" t="str">
        <f t="shared" si="57"/>
        <v/>
      </c>
      <c r="AL103" s="84" t="str">
        <f t="shared" si="58"/>
        <v/>
      </c>
      <c r="AM103" s="84" t="str">
        <f>IF(C102="","",R91)</f>
        <v/>
      </c>
      <c r="AN103" s="84" t="str">
        <f t="shared" si="59"/>
        <v/>
      </c>
      <c r="AO103" s="84" t="str">
        <f t="shared" si="60"/>
        <v/>
      </c>
      <c r="AP103" s="84" t="str">
        <f t="shared" si="61"/>
        <v/>
      </c>
      <c r="AQ103" s="84" t="str">
        <f t="shared" si="62"/>
        <v/>
      </c>
      <c r="AR103" s="84" t="str">
        <f t="shared" si="63"/>
        <v/>
      </c>
      <c r="AS103" s="84" t="str">
        <f t="shared" si="64"/>
        <v/>
      </c>
      <c r="AU103" s="39" t="s">
        <v>283</v>
      </c>
      <c r="AV103" s="17" t="s">
        <v>21</v>
      </c>
      <c r="AW103" s="17">
        <v>300</v>
      </c>
      <c r="AX103" s="17" t="s">
        <v>22</v>
      </c>
      <c r="AY103" s="17" t="s">
        <v>379</v>
      </c>
      <c r="AZ103" s="181" t="s">
        <v>375</v>
      </c>
      <c r="BB103" s="4"/>
      <c r="BC103" s="4"/>
    </row>
    <row r="104" spans="1:55" ht="24.95" customHeight="1">
      <c r="A104" s="712"/>
      <c r="B104" s="158"/>
      <c r="C104" s="70"/>
      <c r="D104" s="79"/>
      <c r="E104" s="3"/>
      <c r="F104" s="72"/>
      <c r="G104" s="159"/>
      <c r="H104" s="160"/>
      <c r="I104" s="161"/>
      <c r="J104" s="73" t="s">
        <v>6995</v>
      </c>
      <c r="K104" s="73"/>
      <c r="L104" s="73"/>
      <c r="M104" s="74"/>
      <c r="N104" s="3"/>
      <c r="O104" s="39" t="s">
        <v>380</v>
      </c>
      <c r="Q104" s="355" t="s">
        <v>558</v>
      </c>
      <c r="V104" s="847" t="str">
        <f t="shared" si="44"/>
        <v/>
      </c>
      <c r="W104" s="849" t="str">
        <f t="shared" si="45"/>
        <v/>
      </c>
      <c r="X104" s="86" t="str">
        <f t="shared" si="46"/>
        <v/>
      </c>
      <c r="Y104" s="837" t="str">
        <f t="shared" si="47"/>
        <v/>
      </c>
      <c r="Z104" s="840" t="str">
        <f>IF(OR(C103="",AJ104&lt;&gt;"VOLUME",AN106=0),"","≈ "&amp;TEXT(ROUND(AN104/AN106*10*2,0)/2,"0.0")&amp;"/10")</f>
        <v/>
      </c>
      <c r="AA104" s="87" t="str">
        <f t="shared" si="48"/>
        <v/>
      </c>
      <c r="AB104" s="88" t="str">
        <f t="shared" si="49"/>
        <v/>
      </c>
      <c r="AC104" s="843" t="str">
        <f t="shared" si="50"/>
        <v/>
      </c>
      <c r="AD104" s="88" t="str">
        <f t="shared" si="51"/>
        <v/>
      </c>
      <c r="AE104" s="88" t="str">
        <f t="shared" si="52"/>
        <v/>
      </c>
      <c r="AF104" s="834" t="str">
        <f t="shared" si="53"/>
        <v/>
      </c>
      <c r="AH104" s="84" t="str">
        <f t="shared" si="54"/>
        <v/>
      </c>
      <c r="AI104" s="85" t="str">
        <f t="shared" si="55"/>
        <v/>
      </c>
      <c r="AJ104" s="84" t="str">
        <f t="shared" si="56"/>
        <v/>
      </c>
      <c r="AK104" s="84" t="str">
        <f t="shared" si="57"/>
        <v/>
      </c>
      <c r="AL104" s="84" t="str">
        <f t="shared" si="58"/>
        <v/>
      </c>
      <c r="AM104" s="84" t="str">
        <f>IF(C103="","",R91)</f>
        <v/>
      </c>
      <c r="AN104" s="84" t="str">
        <f t="shared" si="59"/>
        <v/>
      </c>
      <c r="AO104" s="84" t="str">
        <f t="shared" si="60"/>
        <v/>
      </c>
      <c r="AP104" s="84" t="str">
        <f t="shared" si="61"/>
        <v/>
      </c>
      <c r="AQ104" s="84" t="str">
        <f t="shared" si="62"/>
        <v/>
      </c>
      <c r="AR104" s="84" t="str">
        <f t="shared" si="63"/>
        <v/>
      </c>
      <c r="AS104" s="84" t="str">
        <f t="shared" si="64"/>
        <v/>
      </c>
      <c r="AU104" s="39" t="s">
        <v>299</v>
      </c>
      <c r="AV104" s="17" t="s">
        <v>21</v>
      </c>
      <c r="AW104" s="17">
        <v>240</v>
      </c>
      <c r="AX104" s="17" t="s">
        <v>22</v>
      </c>
      <c r="AY104" s="17" t="s">
        <v>381</v>
      </c>
      <c r="AZ104" s="181" t="s">
        <v>375</v>
      </c>
      <c r="BB104" s="4"/>
      <c r="BC104" s="4"/>
    </row>
    <row r="105" spans="1:55" ht="24.95" customHeight="1">
      <c r="A105" s="712"/>
      <c r="B105" s="14" t="s">
        <v>44</v>
      </c>
      <c r="C105" s="146" t="s">
        <v>198</v>
      </c>
      <c r="D105" s="89"/>
      <c r="E105" s="89"/>
      <c r="F105" s="89"/>
      <c r="G105" s="89"/>
      <c r="H105" s="89"/>
      <c r="I105" s="89"/>
      <c r="J105" s="89" t="s">
        <v>6996</v>
      </c>
      <c r="K105" s="89"/>
      <c r="L105" s="89"/>
      <c r="M105" s="90"/>
      <c r="N105" s="3"/>
      <c r="O105" s="39" t="s">
        <v>382</v>
      </c>
      <c r="Q105"/>
      <c r="V105" s="847" t="str">
        <f t="shared" si="44"/>
        <v/>
      </c>
      <c r="W105" s="849" t="str">
        <f t="shared" si="45"/>
        <v/>
      </c>
      <c r="X105" s="86" t="str">
        <f t="shared" si="46"/>
        <v/>
      </c>
      <c r="Y105" s="837" t="str">
        <f t="shared" si="47"/>
        <v/>
      </c>
      <c r="Z105" s="840" t="str">
        <f>IF(OR(C104="",AJ105&lt;&gt;"VOLUME",AN106=0),"","≈ "&amp;TEXT(ROUND(AN105/AN106*10*2,0)/2,"0.0")&amp;"/10")</f>
        <v/>
      </c>
      <c r="AA105" s="87" t="str">
        <f t="shared" si="48"/>
        <v/>
      </c>
      <c r="AB105" s="88" t="str">
        <f t="shared" si="49"/>
        <v/>
      </c>
      <c r="AC105" s="843" t="str">
        <f t="shared" si="50"/>
        <v/>
      </c>
      <c r="AD105" s="88" t="str">
        <f t="shared" si="51"/>
        <v/>
      </c>
      <c r="AE105" s="88" t="str">
        <f t="shared" si="52"/>
        <v/>
      </c>
      <c r="AF105" s="834" t="str">
        <f t="shared" si="53"/>
        <v/>
      </c>
      <c r="AH105" s="84" t="str">
        <f t="shared" si="54"/>
        <v/>
      </c>
      <c r="AI105" s="85" t="str">
        <f t="shared" si="55"/>
        <v/>
      </c>
      <c r="AJ105" s="84" t="str">
        <f t="shared" si="56"/>
        <v/>
      </c>
      <c r="AK105" s="84" t="str">
        <f t="shared" si="57"/>
        <v/>
      </c>
      <c r="AL105" s="84" t="str">
        <f t="shared" si="58"/>
        <v/>
      </c>
      <c r="AM105" s="84" t="str">
        <f>IF(C104="","",R91)</f>
        <v/>
      </c>
      <c r="AN105" s="84" t="str">
        <f t="shared" si="59"/>
        <v/>
      </c>
      <c r="AO105" s="84" t="str">
        <f t="shared" si="60"/>
        <v/>
      </c>
      <c r="AP105" s="84" t="str">
        <f t="shared" si="61"/>
        <v/>
      </c>
      <c r="AQ105" s="84" t="str">
        <f t="shared" si="62"/>
        <v/>
      </c>
      <c r="AR105" s="84" t="str">
        <f t="shared" si="63"/>
        <v/>
      </c>
      <c r="AS105" s="84" t="str">
        <f t="shared" si="64"/>
        <v/>
      </c>
      <c r="AU105" s="39" t="s">
        <v>313</v>
      </c>
      <c r="AV105" s="17" t="s">
        <v>21</v>
      </c>
      <c r="AW105" s="17">
        <v>200</v>
      </c>
      <c r="AX105" s="17" t="s">
        <v>22</v>
      </c>
      <c r="AY105" s="17" t="s">
        <v>383</v>
      </c>
      <c r="AZ105" s="181" t="s">
        <v>375</v>
      </c>
      <c r="BB105" s="4"/>
      <c r="BC105" s="4"/>
    </row>
    <row r="106" spans="1:55" ht="24.95" customHeight="1">
      <c r="A106" s="712"/>
      <c r="B106" s="91">
        <v>0</v>
      </c>
      <c r="C106" s="10" t="s">
        <v>491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92"/>
      <c r="N106" s="3"/>
      <c r="O106" s="39" t="s">
        <v>353</v>
      </c>
      <c r="Q106" s="29" t="s">
        <v>70</v>
      </c>
      <c r="V106" s="851" t="s">
        <v>203</v>
      </c>
      <c r="W106" s="93"/>
      <c r="X106" s="845">
        <f>AN106</f>
        <v>0</v>
      </c>
      <c r="Y106" s="835" t="str">
        <f>IF(AN106=0,"",TEXT(AN106/1000,"0.000")&amp;" L")</f>
        <v/>
      </c>
      <c r="Z106" s="857"/>
      <c r="AA106" s="93"/>
      <c r="AB106" s="93"/>
      <c r="AC106" s="832">
        <f>AQ106</f>
        <v>0</v>
      </c>
      <c r="AD106" s="844" t="str">
        <f>IF(AN106=0,"",AQ106/AN106*100)</f>
        <v/>
      </c>
      <c r="AE106" s="93"/>
      <c r="AF106" s="856">
        <f>AR106</f>
        <v>0</v>
      </c>
      <c r="AH106" s="94" t="s">
        <v>203</v>
      </c>
      <c r="AI106" s="94"/>
      <c r="AJ106" s="94"/>
      <c r="AK106" s="94"/>
      <c r="AL106" s="94"/>
      <c r="AM106" s="94"/>
      <c r="AN106" s="94">
        <f>SUMIF(AJ99:AJ105,"VOLUME",AN99:AN105)</f>
        <v>0</v>
      </c>
      <c r="AO106" s="94"/>
      <c r="AP106" s="94"/>
      <c r="AQ106" s="94">
        <f>SUM(AQ99:AQ105)</f>
        <v>0</v>
      </c>
      <c r="AR106" s="94">
        <f>SUM(AR99:AR105)</f>
        <v>0</v>
      </c>
      <c r="AS106" s="94" t="str">
        <f>IF(COUNTIF(AS99:AS105,"&lt;&gt;OK")-COUNTBLANK(AS99:AS105)=0,"OK","À CONTRÔLER")</f>
        <v>OK</v>
      </c>
      <c r="AU106" s="39" t="s">
        <v>316</v>
      </c>
      <c r="AV106" s="17" t="s">
        <v>21</v>
      </c>
      <c r="AW106" s="17">
        <v>150</v>
      </c>
      <c r="AX106" s="17" t="s">
        <v>22</v>
      </c>
      <c r="AY106" s="17" t="s">
        <v>384</v>
      </c>
      <c r="AZ106" s="181" t="s">
        <v>375</v>
      </c>
      <c r="BB106" s="4"/>
      <c r="BC106" s="4"/>
    </row>
    <row r="107" spans="1:55" ht="24.95" customHeight="1">
      <c r="A107" s="712"/>
      <c r="B107" s="95">
        <v>1</v>
      </c>
      <c r="C107" s="96" t="s">
        <v>206</v>
      </c>
      <c r="D107" s="96"/>
      <c r="E107" s="96"/>
      <c r="F107" s="96"/>
      <c r="G107" s="96"/>
      <c r="H107" s="96"/>
      <c r="I107" s="96"/>
      <c r="J107" s="96"/>
      <c r="K107" s="96"/>
      <c r="L107" s="96"/>
      <c r="M107" s="74"/>
      <c r="N107" s="3"/>
      <c r="O107" s="39" t="s">
        <v>201</v>
      </c>
      <c r="Q107" s="184"/>
      <c r="V107" s="832" t="s">
        <v>208</v>
      </c>
      <c r="W107" s="19" t="s">
        <v>209</v>
      </c>
      <c r="X107" s="36"/>
      <c r="Y107" s="858"/>
      <c r="Z107" s="859"/>
      <c r="AA107" s="97"/>
      <c r="AB107" s="97"/>
      <c r="AC107" s="97"/>
      <c r="AD107" s="97"/>
      <c r="AE107" s="97"/>
      <c r="AF107" s="860"/>
      <c r="AH107" s="3" t="s">
        <v>6994</v>
      </c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U107" s="39" t="s">
        <v>318</v>
      </c>
      <c r="AV107" s="17" t="s">
        <v>21</v>
      </c>
      <c r="AW107" s="17">
        <v>180</v>
      </c>
      <c r="AX107" s="17" t="s">
        <v>22</v>
      </c>
      <c r="AY107" s="17" t="s">
        <v>385</v>
      </c>
      <c r="AZ107" s="181" t="s">
        <v>375</v>
      </c>
      <c r="BB107" s="4"/>
      <c r="BC107" s="4"/>
    </row>
    <row r="108" spans="1:55" ht="24.95" customHeight="1">
      <c r="A108" s="712"/>
      <c r="B108" s="95">
        <v>2</v>
      </c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74"/>
      <c r="N108" s="3"/>
      <c r="O108" s="39" t="s">
        <v>370</v>
      </c>
      <c r="P108" s="3"/>
      <c r="Q108" s="29" t="s">
        <v>584</v>
      </c>
      <c r="V108" s="98" t="str">
        <f t="shared" ref="V108:V115" si="65">IF(C107="","",C107)</f>
        <v>Préparer le verre et le poste de travail.</v>
      </c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H108" s="146" t="s">
        <v>214</v>
      </c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3"/>
      <c r="AU108" s="39" t="s">
        <v>320</v>
      </c>
      <c r="AV108" s="17" t="s">
        <v>21</v>
      </c>
      <c r="AW108" s="17">
        <v>150</v>
      </c>
      <c r="AX108" s="17" t="s">
        <v>22</v>
      </c>
      <c r="AY108" s="17" t="s">
        <v>386</v>
      </c>
      <c r="AZ108" s="181" t="s">
        <v>375</v>
      </c>
      <c r="BB108" s="4"/>
      <c r="BC108" s="4"/>
    </row>
    <row r="109" spans="1:55" ht="24.95" customHeight="1">
      <c r="A109" s="712"/>
      <c r="B109" s="95">
        <v>3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74"/>
      <c r="N109" s="3"/>
      <c r="O109" s="39" t="s">
        <v>205</v>
      </c>
      <c r="P109" s="3"/>
      <c r="Q109"/>
      <c r="R109" s="3"/>
      <c r="S109" s="3"/>
      <c r="T109" s="3"/>
      <c r="U109" s="3"/>
      <c r="V109" s="98" t="str">
        <f t="shared" si="65"/>
        <v/>
      </c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H109" s="165" t="s">
        <v>219</v>
      </c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U109" s="39" t="s">
        <v>336</v>
      </c>
      <c r="AV109" s="17" t="s">
        <v>21</v>
      </c>
      <c r="AW109" s="17">
        <v>270</v>
      </c>
      <c r="AX109" s="17" t="s">
        <v>22</v>
      </c>
      <c r="AY109" s="17" t="s">
        <v>387</v>
      </c>
      <c r="AZ109" s="181" t="s">
        <v>375</v>
      </c>
      <c r="BB109" s="4"/>
      <c r="BC109" s="4"/>
    </row>
    <row r="110" spans="1:55" ht="24.95" customHeight="1">
      <c r="A110" s="712"/>
      <c r="B110" s="95">
        <v>4</v>
      </c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74"/>
      <c r="N110" s="3"/>
      <c r="O110" s="39" t="s">
        <v>388</v>
      </c>
      <c r="P110" s="3"/>
      <c r="Q110" s="356" t="s">
        <v>564</v>
      </c>
      <c r="R110" s="3"/>
      <c r="S110" s="3"/>
      <c r="T110" s="3"/>
      <c r="U110" s="3"/>
      <c r="V110" s="98" t="str">
        <f t="shared" si="65"/>
        <v/>
      </c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  <c r="AH110" s="166" t="s">
        <v>222</v>
      </c>
      <c r="AI110" s="167" t="s">
        <v>223</v>
      </c>
      <c r="AJ110" s="165"/>
      <c r="AK110" s="167" t="s">
        <v>224</v>
      </c>
      <c r="AL110" s="165"/>
      <c r="AM110" s="165"/>
      <c r="AN110" s="165"/>
      <c r="AO110" s="167" t="s">
        <v>225</v>
      </c>
      <c r="AP110" s="165"/>
      <c r="AQ110" s="165"/>
      <c r="AR110" s="165"/>
      <c r="AU110" s="39" t="s">
        <v>338</v>
      </c>
      <c r="AV110" s="17" t="s">
        <v>21</v>
      </c>
      <c r="AW110" s="17">
        <v>250</v>
      </c>
      <c r="AX110" s="17" t="s">
        <v>22</v>
      </c>
      <c r="AY110" s="17" t="s">
        <v>389</v>
      </c>
      <c r="AZ110" s="181" t="s">
        <v>375</v>
      </c>
      <c r="BB110" s="4"/>
      <c r="BC110" s="4"/>
    </row>
    <row r="111" spans="1:55" ht="24.95" customHeight="1">
      <c r="A111" s="712"/>
      <c r="B111" s="95">
        <v>5</v>
      </c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74"/>
      <c r="N111" s="3"/>
      <c r="O111" s="39" t="s">
        <v>390</v>
      </c>
      <c r="P111" s="3"/>
      <c r="Q111"/>
      <c r="R111" s="3"/>
      <c r="S111" s="3"/>
      <c r="T111" s="3"/>
      <c r="U111" s="3"/>
      <c r="V111" s="98" t="str">
        <f t="shared" si="65"/>
        <v/>
      </c>
      <c r="W111" s="98"/>
      <c r="X111" s="98"/>
      <c r="Y111" s="98"/>
      <c r="Z111" s="98"/>
      <c r="AA111" s="98"/>
      <c r="AB111" s="98"/>
      <c r="AC111" s="98"/>
      <c r="AD111" s="98"/>
      <c r="AE111" s="98"/>
      <c r="AF111" s="98"/>
      <c r="AH111" s="750" t="s">
        <v>156</v>
      </c>
      <c r="AI111" s="748" t="s">
        <v>230</v>
      </c>
      <c r="AJ111" s="748"/>
      <c r="AK111" s="749" t="s">
        <v>231</v>
      </c>
      <c r="AL111" s="749"/>
      <c r="AM111" s="749"/>
      <c r="AN111" s="749"/>
      <c r="AO111" s="746" t="s">
        <v>232</v>
      </c>
      <c r="AP111" s="746"/>
      <c r="AQ111" s="746"/>
      <c r="AR111" s="746"/>
      <c r="AU111" s="39" t="s">
        <v>339</v>
      </c>
      <c r="AV111" s="17" t="s">
        <v>21</v>
      </c>
      <c r="AW111" s="17">
        <v>180</v>
      </c>
      <c r="AX111" s="17" t="s">
        <v>22</v>
      </c>
      <c r="AY111" s="17" t="s">
        <v>391</v>
      </c>
      <c r="AZ111" s="181" t="s">
        <v>375</v>
      </c>
      <c r="BB111" s="4"/>
      <c r="BC111" s="4"/>
    </row>
    <row r="112" spans="1:55" ht="24.95" customHeight="1">
      <c r="A112" s="712"/>
      <c r="B112" s="95">
        <v>6</v>
      </c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74"/>
      <c r="N112" s="3"/>
      <c r="O112" s="39" t="s">
        <v>125</v>
      </c>
      <c r="P112" s="3"/>
      <c r="Q112" s="356" t="s">
        <v>72</v>
      </c>
      <c r="R112" s="3"/>
      <c r="S112" s="3"/>
      <c r="T112" s="3"/>
      <c r="U112" s="3"/>
      <c r="V112" s="98" t="str">
        <f t="shared" si="65"/>
        <v/>
      </c>
      <c r="W112" s="98"/>
      <c r="X112" s="98"/>
      <c r="Y112" s="98"/>
      <c r="Z112" s="98"/>
      <c r="AA112" s="98"/>
      <c r="AB112" s="98"/>
      <c r="AC112" s="98"/>
      <c r="AD112" s="98"/>
      <c r="AE112" s="98"/>
      <c r="AF112" s="98"/>
      <c r="AH112" s="750"/>
      <c r="AI112" s="748"/>
      <c r="AJ112" s="748"/>
      <c r="AK112" s="749"/>
      <c r="AL112" s="749"/>
      <c r="AM112" s="749"/>
      <c r="AN112" s="749"/>
      <c r="AO112" s="746"/>
      <c r="AP112" s="746"/>
      <c r="AQ112" s="746"/>
      <c r="AR112" s="746"/>
      <c r="AU112" s="39" t="s">
        <v>341</v>
      </c>
      <c r="AV112" s="17" t="s">
        <v>21</v>
      </c>
      <c r="AW112" s="17">
        <v>400</v>
      </c>
      <c r="AX112" s="17" t="s">
        <v>22</v>
      </c>
      <c r="AY112" s="17" t="s">
        <v>392</v>
      </c>
      <c r="AZ112" s="181" t="s">
        <v>375</v>
      </c>
      <c r="BB112" s="4"/>
      <c r="BC112" s="4"/>
    </row>
    <row r="113" spans="1:55" ht="24.95" customHeight="1">
      <c r="A113" s="712"/>
      <c r="B113" s="95">
        <v>7</v>
      </c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74"/>
      <c r="N113" s="3"/>
      <c r="O113" s="39" t="s">
        <v>211</v>
      </c>
      <c r="P113" s="3"/>
      <c r="Q113"/>
      <c r="R113" s="3"/>
      <c r="S113" s="3"/>
      <c r="T113" s="3"/>
      <c r="U113" s="3"/>
      <c r="V113" s="98" t="str">
        <f t="shared" si="65"/>
        <v/>
      </c>
      <c r="W113" s="98"/>
      <c r="X113" s="98"/>
      <c r="Y113" s="98"/>
      <c r="Z113" s="98"/>
      <c r="AA113" s="98"/>
      <c r="AB113" s="98"/>
      <c r="AC113" s="98"/>
      <c r="AD113" s="98"/>
      <c r="AE113" s="98"/>
      <c r="AF113" s="98"/>
      <c r="AH113" s="747" t="s">
        <v>492</v>
      </c>
      <c r="AI113" s="748" t="s">
        <v>241</v>
      </c>
      <c r="AJ113" s="748"/>
      <c r="AK113" s="749" t="s">
        <v>242</v>
      </c>
      <c r="AL113" s="749"/>
      <c r="AM113" s="749"/>
      <c r="AN113" s="749"/>
      <c r="AO113" s="746" t="s">
        <v>243</v>
      </c>
      <c r="AP113" s="746"/>
      <c r="AQ113" s="746"/>
      <c r="AR113" s="746"/>
      <c r="AU113" s="39" t="s">
        <v>349</v>
      </c>
      <c r="AV113" s="17" t="s">
        <v>21</v>
      </c>
      <c r="AW113" s="17">
        <v>240</v>
      </c>
      <c r="AX113" s="17" t="s">
        <v>22</v>
      </c>
      <c r="AY113" s="17" t="s">
        <v>393</v>
      </c>
      <c r="AZ113" s="181" t="s">
        <v>375</v>
      </c>
      <c r="BB113" s="4"/>
      <c r="BC113" s="4"/>
    </row>
    <row r="114" spans="1:55" ht="24.95" customHeight="1">
      <c r="A114" s="712"/>
      <c r="B114" s="95">
        <v>8</v>
      </c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74"/>
      <c r="N114" s="3"/>
      <c r="O114" s="39" t="s">
        <v>216</v>
      </c>
      <c r="P114" s="3"/>
      <c r="Q114" s="356" t="s">
        <v>602</v>
      </c>
      <c r="R114" s="3"/>
      <c r="S114" s="3"/>
      <c r="T114" s="3"/>
      <c r="U114" s="3"/>
      <c r="V114" s="98" t="str">
        <f t="shared" si="65"/>
        <v/>
      </c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H114" s="747"/>
      <c r="AI114" s="748"/>
      <c r="AJ114" s="748"/>
      <c r="AK114" s="749"/>
      <c r="AL114" s="749"/>
      <c r="AM114" s="749"/>
      <c r="AN114" s="749"/>
      <c r="AO114" s="746"/>
      <c r="AP114" s="746"/>
      <c r="AQ114" s="746"/>
      <c r="AR114" s="746"/>
      <c r="AU114" s="39" t="s">
        <v>363</v>
      </c>
      <c r="AV114" s="17" t="s">
        <v>21</v>
      </c>
      <c r="AW114" s="17">
        <v>25</v>
      </c>
      <c r="AX114" s="17" t="s">
        <v>22</v>
      </c>
      <c r="AY114" s="17" t="s">
        <v>394</v>
      </c>
      <c r="AZ114" s="181" t="s">
        <v>375</v>
      </c>
      <c r="BB114" s="4"/>
      <c r="BC114" s="4"/>
    </row>
    <row r="115" spans="1:55" ht="24.95" customHeight="1">
      <c r="A115" s="712"/>
      <c r="B115" s="101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90"/>
      <c r="N115" s="3"/>
      <c r="O115" s="39" t="s">
        <v>83</v>
      </c>
      <c r="P115" s="3"/>
      <c r="Q115" s="183"/>
      <c r="R115" s="3"/>
      <c r="S115" s="3"/>
      <c r="T115" s="3"/>
      <c r="U115" s="3"/>
      <c r="V115" s="98" t="str">
        <f t="shared" si="65"/>
        <v/>
      </c>
      <c r="W115" s="98"/>
      <c r="X115" s="98"/>
      <c r="Y115" s="98"/>
      <c r="Z115" s="98"/>
      <c r="AA115" s="98"/>
      <c r="AB115" s="98"/>
      <c r="AC115" s="98"/>
      <c r="AD115" s="98"/>
      <c r="AE115" s="98"/>
      <c r="AF115" s="98"/>
      <c r="AH115" s="750" t="s">
        <v>6993</v>
      </c>
      <c r="AI115" s="748" t="s">
        <v>252</v>
      </c>
      <c r="AJ115" s="748"/>
      <c r="AK115" s="749" t="s">
        <v>253</v>
      </c>
      <c r="AL115" s="749"/>
      <c r="AM115" s="749"/>
      <c r="AN115" s="749"/>
      <c r="AO115" s="746" t="s">
        <v>254</v>
      </c>
      <c r="AP115" s="746"/>
      <c r="AQ115" s="746"/>
      <c r="AR115" s="746"/>
      <c r="AU115" s="39" t="s">
        <v>366</v>
      </c>
      <c r="AV115" s="17" t="s">
        <v>21</v>
      </c>
      <c r="AW115" s="17">
        <v>350</v>
      </c>
      <c r="AX115" s="17" t="s">
        <v>22</v>
      </c>
      <c r="AY115" s="17" t="s">
        <v>395</v>
      </c>
      <c r="AZ115" s="181" t="s">
        <v>375</v>
      </c>
      <c r="BB115" s="4"/>
      <c r="BC115" s="4"/>
    </row>
    <row r="116" spans="1:55" ht="24.95" customHeight="1">
      <c r="A116" s="712"/>
      <c r="B116" s="10" t="s">
        <v>258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92"/>
      <c r="N116" s="3"/>
      <c r="O116" s="39" t="s">
        <v>355</v>
      </c>
      <c r="P116" s="3"/>
      <c r="Q116" s="356" t="s">
        <v>609</v>
      </c>
      <c r="R116" s="3"/>
      <c r="S116" s="3"/>
      <c r="T116" s="3"/>
      <c r="U116" s="3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H116" s="750"/>
      <c r="AI116" s="748"/>
      <c r="AJ116" s="748"/>
      <c r="AK116" s="749"/>
      <c r="AL116" s="749"/>
      <c r="AM116" s="749"/>
      <c r="AN116" s="749"/>
      <c r="AO116" s="746"/>
      <c r="AP116" s="746"/>
      <c r="AQ116" s="746"/>
      <c r="AR116" s="746"/>
      <c r="AU116" s="39" t="s">
        <v>369</v>
      </c>
      <c r="AV116" s="17" t="s">
        <v>21</v>
      </c>
      <c r="AW116" s="17">
        <v>240</v>
      </c>
      <c r="AX116" s="17" t="s">
        <v>22</v>
      </c>
      <c r="AY116" s="17" t="s">
        <v>396</v>
      </c>
      <c r="AZ116" s="181" t="s">
        <v>375</v>
      </c>
      <c r="BB116" s="4"/>
      <c r="BC116" s="4"/>
    </row>
    <row r="117" spans="1:55" ht="24.95" customHeight="1">
      <c r="A117" s="712"/>
      <c r="B117" s="102" t="s">
        <v>259</v>
      </c>
      <c r="C117" s="73" t="s">
        <v>6671</v>
      </c>
      <c r="D117" s="73"/>
      <c r="E117" s="73"/>
      <c r="F117" s="73"/>
      <c r="G117" s="73"/>
      <c r="H117" s="73"/>
      <c r="I117" s="73"/>
      <c r="J117" s="73"/>
      <c r="K117" s="73"/>
      <c r="L117" s="73"/>
      <c r="M117" s="74"/>
      <c r="N117" s="3"/>
      <c r="O117" s="39" t="s">
        <v>227</v>
      </c>
      <c r="P117" s="3"/>
      <c r="R117" s="3"/>
      <c r="S117" s="3"/>
      <c r="T117" s="3"/>
      <c r="U117" s="3"/>
      <c r="V117" s="103" t="s">
        <v>260</v>
      </c>
      <c r="W117" s="103" t="s">
        <v>209</v>
      </c>
      <c r="X117" s="103"/>
      <c r="Y117" s="103"/>
      <c r="Z117" s="103"/>
      <c r="AA117" s="103"/>
      <c r="AB117" s="103"/>
      <c r="AC117" s="103"/>
      <c r="AD117" s="103"/>
      <c r="AE117" s="103"/>
      <c r="AF117" s="103"/>
      <c r="AH117" s="171" t="s">
        <v>261</v>
      </c>
      <c r="AI117" s="172"/>
      <c r="AJ117" s="165"/>
      <c r="AK117" s="165"/>
      <c r="AL117" s="165"/>
      <c r="AM117" s="165"/>
      <c r="AN117" s="165"/>
      <c r="AO117" s="165"/>
      <c r="AP117" s="165"/>
      <c r="AQ117" s="165"/>
      <c r="AR117" s="165"/>
      <c r="AU117" s="39" t="s">
        <v>378</v>
      </c>
      <c r="AV117" s="17" t="s">
        <v>21</v>
      </c>
      <c r="AW117" s="17">
        <v>250</v>
      </c>
      <c r="AX117" s="17" t="s">
        <v>22</v>
      </c>
      <c r="AY117" s="17" t="s">
        <v>378</v>
      </c>
      <c r="AZ117" s="181" t="s">
        <v>375</v>
      </c>
      <c r="BB117" s="4"/>
      <c r="BC117" s="4"/>
    </row>
    <row r="118" spans="1:55" ht="24.95" customHeight="1">
      <c r="A118" s="712"/>
      <c r="B118" s="102" t="s">
        <v>262</v>
      </c>
      <c r="C118" s="73" t="s">
        <v>263</v>
      </c>
      <c r="D118" s="73"/>
      <c r="E118" s="73"/>
      <c r="F118" s="73"/>
      <c r="G118" s="73"/>
      <c r="H118" s="73"/>
      <c r="I118" s="73"/>
      <c r="J118" s="73"/>
      <c r="K118" s="73"/>
      <c r="L118" s="73"/>
      <c r="M118" s="74"/>
      <c r="N118" s="3"/>
      <c r="O118" s="39" t="s">
        <v>270</v>
      </c>
      <c r="P118" s="3"/>
      <c r="Q118" s="3"/>
      <c r="R118" s="3"/>
      <c r="S118" s="3"/>
      <c r="T118" s="3"/>
      <c r="U118" s="3"/>
      <c r="V118" s="98" t="str">
        <f>IF(C117="","",C117)</f>
        <v>Exemple &gt; Tumbler (Old Fashioned)</v>
      </c>
      <c r="W118" s="98"/>
      <c r="X118" s="98"/>
      <c r="Y118" s="98"/>
      <c r="Z118" s="98"/>
      <c r="AA118" s="98"/>
      <c r="AB118" s="98"/>
      <c r="AC118" s="98"/>
      <c r="AD118" s="98"/>
      <c r="AE118" s="98"/>
      <c r="AF118" s="98"/>
      <c r="AH118" s="172" t="s">
        <v>264</v>
      </c>
      <c r="AI118" s="172"/>
      <c r="AJ118" s="165"/>
      <c r="AK118" s="172"/>
      <c r="AL118" s="165"/>
      <c r="AM118" s="165"/>
      <c r="AN118" s="165"/>
      <c r="AO118" s="172"/>
      <c r="AP118" s="165"/>
      <c r="AQ118" s="165"/>
      <c r="AR118" s="165"/>
      <c r="AU118" s="39" t="s">
        <v>380</v>
      </c>
      <c r="AV118" s="17" t="s">
        <v>21</v>
      </c>
      <c r="AW118" s="17">
        <v>150</v>
      </c>
      <c r="AX118" s="17" t="s">
        <v>22</v>
      </c>
      <c r="AY118" s="17" t="s">
        <v>380</v>
      </c>
      <c r="AZ118" s="181" t="s">
        <v>375</v>
      </c>
      <c r="BB118" s="4"/>
      <c r="BC118" s="4"/>
    </row>
    <row r="119" spans="1:55" ht="24.95" customHeight="1">
      <c r="A119" s="712"/>
      <c r="B119" s="104" t="s">
        <v>267</v>
      </c>
      <c r="C119" s="105"/>
      <c r="D119" s="73"/>
      <c r="E119" s="73"/>
      <c r="F119" s="73"/>
      <c r="G119" s="73"/>
      <c r="H119" s="73"/>
      <c r="I119" s="73"/>
      <c r="J119" s="73"/>
      <c r="K119" s="73"/>
      <c r="L119" s="73"/>
      <c r="M119" s="74"/>
      <c r="N119" s="3"/>
      <c r="O119" s="39" t="s">
        <v>238</v>
      </c>
      <c r="P119" s="3"/>
      <c r="Q119" s="3"/>
      <c r="R119" s="3"/>
      <c r="S119" s="3"/>
      <c r="T119" s="3"/>
      <c r="U119" s="3"/>
      <c r="V119" s="98" t="str">
        <f>IF(C118="","",C118)</f>
        <v>Doseur / jigger ; cuillère à mélange ; bec verseur ; pince à glaçons</v>
      </c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  <c r="AH119" s="172" t="s">
        <v>269</v>
      </c>
      <c r="AI119" s="172"/>
      <c r="AJ119" s="173"/>
      <c r="AK119" s="173"/>
      <c r="AL119" s="165"/>
      <c r="AM119" s="165"/>
      <c r="AN119" s="165"/>
      <c r="AO119" s="165"/>
      <c r="AP119" s="165"/>
      <c r="AQ119" s="165"/>
      <c r="AR119" s="165"/>
      <c r="AU119" s="39" t="s">
        <v>382</v>
      </c>
      <c r="AV119" s="17" t="s">
        <v>21</v>
      </c>
      <c r="AW119" s="17">
        <v>150</v>
      </c>
      <c r="AX119" s="17" t="s">
        <v>22</v>
      </c>
      <c r="AY119" s="17" t="s">
        <v>397</v>
      </c>
      <c r="AZ119" s="181" t="s">
        <v>375</v>
      </c>
      <c r="BB119" s="4"/>
      <c r="BC119" s="4"/>
    </row>
    <row r="120" spans="1:55" ht="24.95" customHeight="1">
      <c r="A120" s="712"/>
      <c r="N120" s="3"/>
      <c r="O120" s="39" t="s">
        <v>372</v>
      </c>
      <c r="P120" s="3"/>
      <c r="Q120" s="3"/>
      <c r="R120" s="3"/>
      <c r="S120" s="3"/>
      <c r="T120" s="3"/>
      <c r="U120" s="3"/>
      <c r="V120" s="98" t="str">
        <f>IF(C119="","",C119)</f>
        <v/>
      </c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  <c r="AH120" s="168" t="s">
        <v>274</v>
      </c>
      <c r="AI120" s="165"/>
      <c r="AJ120" s="173"/>
      <c r="AK120" s="173"/>
      <c r="AL120" s="165"/>
      <c r="AM120" s="165"/>
      <c r="AN120" s="165"/>
      <c r="AO120" s="165"/>
      <c r="AP120" s="165"/>
      <c r="AQ120" s="165"/>
      <c r="AR120" s="165"/>
      <c r="AU120" s="39" t="s">
        <v>388</v>
      </c>
      <c r="AV120" s="17" t="s">
        <v>21</v>
      </c>
      <c r="AW120" s="17">
        <v>400</v>
      </c>
      <c r="AX120" s="17" t="s">
        <v>22</v>
      </c>
      <c r="AY120" s="17" t="s">
        <v>398</v>
      </c>
      <c r="AZ120" s="181" t="s">
        <v>375</v>
      </c>
      <c r="BB120" s="4"/>
      <c r="BC120" s="4"/>
    </row>
    <row r="121" spans="1:55" ht="24.95" customHeight="1">
      <c r="A121" s="713"/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7" t="s">
        <v>272</v>
      </c>
      <c r="N121" s="3"/>
      <c r="O121" s="39" t="s">
        <v>93</v>
      </c>
      <c r="P121" s="3"/>
      <c r="Q121" s="3"/>
      <c r="R121" s="3"/>
      <c r="S121" s="3"/>
      <c r="T121" s="3"/>
      <c r="U121" s="3"/>
      <c r="V121" s="108" t="s">
        <v>277</v>
      </c>
      <c r="W121" s="108"/>
      <c r="X121" s="108"/>
      <c r="Y121" s="108"/>
      <c r="Z121" s="108"/>
      <c r="AA121" s="108"/>
      <c r="AB121" s="108"/>
      <c r="AC121" s="108"/>
      <c r="AD121" s="108"/>
      <c r="AE121" s="108"/>
      <c r="AF121" s="109" t="s">
        <v>277</v>
      </c>
      <c r="AH121" s="168" t="s">
        <v>278</v>
      </c>
      <c r="AI121" s="172"/>
      <c r="AJ121" s="173"/>
      <c r="AK121" s="173"/>
      <c r="AL121" s="165"/>
      <c r="AM121" s="165"/>
      <c r="AN121" s="165"/>
      <c r="AO121" s="165"/>
      <c r="AP121" s="165"/>
      <c r="AQ121" s="165"/>
      <c r="AR121" s="165"/>
      <c r="AU121" s="39" t="s">
        <v>390</v>
      </c>
      <c r="AV121" s="17" t="s">
        <v>21</v>
      </c>
      <c r="AW121" s="17">
        <v>250</v>
      </c>
      <c r="AX121" s="17" t="s">
        <v>22</v>
      </c>
      <c r="AY121" s="17" t="s">
        <v>399</v>
      </c>
      <c r="AZ121" s="181" t="s">
        <v>375</v>
      </c>
      <c r="BB121" s="4"/>
      <c r="BC121" s="4"/>
    </row>
    <row r="122" spans="1:55" ht="24.95" customHeight="1">
      <c r="A122" s="715"/>
      <c r="B122" s="716"/>
      <c r="C122" s="716"/>
      <c r="D122" s="716"/>
      <c r="E122" s="716"/>
      <c r="F122" s="716"/>
      <c r="G122" s="716"/>
      <c r="H122" s="716"/>
      <c r="I122" s="716"/>
      <c r="J122" s="716"/>
      <c r="K122" s="716"/>
      <c r="L122" s="716"/>
      <c r="M122" s="716"/>
      <c r="N122" s="717"/>
      <c r="P122" s="717"/>
      <c r="Q122" s="3"/>
      <c r="R122" s="3"/>
      <c r="S122" s="3"/>
      <c r="T122" s="3"/>
      <c r="U122" s="719"/>
      <c r="V122" s="761"/>
      <c r="W122" s="761"/>
      <c r="X122" s="761"/>
      <c r="Y122" s="720"/>
      <c r="Z122" s="721"/>
      <c r="AA122" s="721"/>
      <c r="AB122" s="721"/>
      <c r="AC122" s="721"/>
      <c r="AD122" s="721"/>
      <c r="AE122" s="721"/>
      <c r="AF122" s="721"/>
      <c r="AG122" s="719"/>
      <c r="AH122" s="718"/>
      <c r="AI122" s="718"/>
      <c r="AJ122" s="718"/>
      <c r="AK122" s="718"/>
      <c r="AL122" s="718"/>
      <c r="AM122" s="722"/>
      <c r="AN122" s="722"/>
      <c r="AO122" s="722"/>
      <c r="AP122" s="722"/>
      <c r="AQ122" s="722"/>
      <c r="AR122" s="722"/>
      <c r="AS122" s="722"/>
    </row>
    <row r="123" spans="1:55" ht="24.95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spans="1:55" ht="24.95" customHeight="1">
      <c r="A124" s="149" t="s">
        <v>59</v>
      </c>
      <c r="B124" s="711" t="s">
        <v>60</v>
      </c>
      <c r="C124" s="711"/>
      <c r="D124" s="711"/>
      <c r="E124" s="711"/>
      <c r="F124" s="711"/>
      <c r="G124" s="711"/>
      <c r="H124" s="711"/>
      <c r="I124" s="711"/>
      <c r="J124" s="711"/>
      <c r="K124" s="711"/>
      <c r="L124" s="711"/>
      <c r="M124" s="711"/>
      <c r="N124" s="3"/>
      <c r="O124" s="751" t="s">
        <v>2</v>
      </c>
      <c r="P124" s="3"/>
      <c r="Q124" s="10" t="s">
        <v>61</v>
      </c>
      <c r="R124" s="10"/>
      <c r="S124" s="10"/>
      <c r="T124" s="10"/>
      <c r="V124" s="861" t="s">
        <v>62</v>
      </c>
      <c r="W124" s="861"/>
      <c r="X124" s="861"/>
      <c r="Y124" s="23" t="s">
        <v>63</v>
      </c>
      <c r="Z124" s="24"/>
      <c r="AA124" s="24"/>
      <c r="AB124" s="24"/>
      <c r="AC124" s="24"/>
      <c r="AD124" s="24"/>
      <c r="AE124" s="24"/>
      <c r="AF124" s="24"/>
      <c r="AH124" s="25" t="s">
        <v>64</v>
      </c>
      <c r="AI124" s="25"/>
      <c r="AJ124" s="25" t="s">
        <v>65</v>
      </c>
      <c r="AK124" s="25"/>
      <c r="AL124" s="25"/>
      <c r="AM124" s="26"/>
      <c r="AN124" s="26"/>
      <c r="AO124" s="26"/>
      <c r="AP124" s="26"/>
      <c r="AQ124" s="26"/>
      <c r="AR124" s="26"/>
      <c r="AS124" s="26"/>
    </row>
    <row r="125" spans="1:55" ht="24.95" customHeight="1">
      <c r="A125" s="712"/>
      <c r="B125" s="27" t="s">
        <v>67</v>
      </c>
      <c r="C125" s="28" t="s">
        <v>7259</v>
      </c>
      <c r="D125" s="28"/>
      <c r="E125" s="27" t="s">
        <v>69</v>
      </c>
      <c r="F125" s="355" t="s">
        <v>558</v>
      </c>
      <c r="G125" s="30"/>
      <c r="H125" s="27" t="s">
        <v>71</v>
      </c>
      <c r="I125" s="356" t="s">
        <v>564</v>
      </c>
      <c r="J125" s="30"/>
      <c r="K125" s="27" t="s">
        <v>73</v>
      </c>
      <c r="L125" s="32" t="s">
        <v>6669</v>
      </c>
      <c r="M125" s="33"/>
      <c r="N125" s="3"/>
      <c r="O125" s="751"/>
      <c r="P125" s="3"/>
      <c r="Q125" s="14" t="s">
        <v>27</v>
      </c>
      <c r="R125" s="35">
        <v>10</v>
      </c>
      <c r="S125" s="15" t="s">
        <v>76</v>
      </c>
      <c r="T125" s="15"/>
      <c r="V125" s="831" t="s">
        <v>77</v>
      </c>
      <c r="W125" s="862" t="str">
        <f>C125</f>
        <v>NOM DU COCKTAIL N°4</v>
      </c>
      <c r="X125" s="862"/>
      <c r="Y125" s="862"/>
      <c r="Z125" s="36" t="s">
        <v>78</v>
      </c>
      <c r="AA125" s="24" t="str">
        <f>F125</f>
        <v>Avec ou sans Alcool</v>
      </c>
      <c r="AB125" s="24"/>
      <c r="AC125" s="831" t="s">
        <v>71</v>
      </c>
      <c r="AD125" s="37" t="str">
        <f>I125</f>
        <v xml:space="preserve">Quand </v>
      </c>
      <c r="AE125" s="831" t="s">
        <v>73</v>
      </c>
      <c r="AF125" s="24" t="str">
        <f>L125</f>
        <v>TYPE DE COCKTAIL</v>
      </c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</row>
    <row r="126" spans="1:55" ht="24.95" customHeight="1">
      <c r="A126" s="712"/>
      <c r="B126" s="27" t="s">
        <v>80</v>
      </c>
      <c r="C126" s="38" t="s">
        <v>561</v>
      </c>
      <c r="D126" s="30"/>
      <c r="E126" s="27" t="s">
        <v>82</v>
      </c>
      <c r="F126" s="39" t="s">
        <v>83</v>
      </c>
      <c r="G126" s="30"/>
      <c r="H126" s="27" t="s">
        <v>84</v>
      </c>
      <c r="I126" s="40">
        <v>1</v>
      </c>
      <c r="J126" s="41" t="s">
        <v>83</v>
      </c>
      <c r="K126" s="41"/>
      <c r="L126" s="42" t="s">
        <v>76</v>
      </c>
      <c r="M126" s="33"/>
      <c r="N126" s="3"/>
      <c r="O126" s="751" t="s">
        <v>480</v>
      </c>
      <c r="Q126" s="14" t="s">
        <v>31</v>
      </c>
      <c r="R126" s="35"/>
      <c r="S126" s="15" t="s">
        <v>86</v>
      </c>
      <c r="T126" s="15"/>
      <c r="V126" s="44" t="s">
        <v>87</v>
      </c>
      <c r="W126" s="150" t="str">
        <f>R130</f>
        <v/>
      </c>
      <c r="X126" s="43" t="s">
        <v>88</v>
      </c>
      <c r="Y126" s="43"/>
      <c r="Z126" s="44" t="s">
        <v>89</v>
      </c>
      <c r="AA126" s="45">
        <f>R132</f>
        <v>0</v>
      </c>
      <c r="AB126" s="46" t="s">
        <v>90</v>
      </c>
      <c r="AC126" s="44" t="s">
        <v>91</v>
      </c>
      <c r="AD126" s="45">
        <f>R127</f>
        <v>10</v>
      </c>
      <c r="AE126" s="47" t="s">
        <v>92</v>
      </c>
      <c r="AF126" s="43" t="str">
        <f>R134</f>
        <v>NOMBRE DE COCKTAILS</v>
      </c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1:55" ht="24.95" customHeight="1">
      <c r="A127" s="712"/>
      <c r="B127" s="27" t="s">
        <v>94</v>
      </c>
      <c r="C127" s="151" t="s">
        <v>6670</v>
      </c>
      <c r="D127" s="30"/>
      <c r="E127" s="30"/>
      <c r="F127" s="30"/>
      <c r="G127" s="30"/>
      <c r="H127" s="27" t="s">
        <v>96</v>
      </c>
      <c r="I127" s="48">
        <v>15</v>
      </c>
      <c r="J127" s="152" t="s">
        <v>32</v>
      </c>
      <c r="K127" s="30"/>
      <c r="L127" s="30"/>
      <c r="M127" s="33"/>
      <c r="N127" s="3"/>
      <c r="O127" s="751"/>
      <c r="Q127" s="14" t="s">
        <v>98</v>
      </c>
      <c r="R127" s="49">
        <f>IF(AND(ISNUMBER(R126),R126&gt;0),IFERROR(R126*1000/R128,0),IF(AND(ISNUMBER(R125),R125&gt;0,ISNUMBER(I126),I126&gt;0),R125/I126,1))</f>
        <v>10</v>
      </c>
      <c r="S127" s="50" t="s">
        <v>99</v>
      </c>
      <c r="T127" s="50"/>
      <c r="V127" s="44" t="s">
        <v>100</v>
      </c>
      <c r="W127" s="51">
        <f>IF(R128="","",R128/10)</f>
        <v>0</v>
      </c>
      <c r="X127" s="46" t="s">
        <v>32</v>
      </c>
      <c r="Y127" s="43"/>
      <c r="Z127" s="44" t="s">
        <v>101</v>
      </c>
      <c r="AA127" s="45" t="str">
        <f>R129</f>
        <v/>
      </c>
      <c r="AB127" s="46" t="s">
        <v>32</v>
      </c>
      <c r="AC127" s="44" t="s">
        <v>102</v>
      </c>
      <c r="AD127" s="45">
        <f>R133</f>
        <v>10</v>
      </c>
      <c r="AE127" s="51"/>
      <c r="AF127" s="4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</row>
    <row r="128" spans="1:55" ht="24.95" customHeight="1">
      <c r="A128" s="712"/>
      <c r="B128" s="27"/>
      <c r="C128" s="52" t="str">
        <f>UPPER(LEFT(C125,1)) &amp; " . " &amp; UPPER(LEFT(C125,1)) &amp; LOWER(MID(C125,2,999)) &amp; " . " &amp; UPPER(LEFT(F125,1)) &amp; LOWER(MID(F125,2,999)) &amp; " . " &amp; UPPER(LEFT(I125,1)) &amp; LOWER(MID(I125,2,999)) &amp; " . " &amp; "Verre " &amp; UPPER(LEFT(F126,1)) &amp; LOWER(MID(F126,2,999)) &amp; IF(LEFT(L125,1)=UPPER(LEFT(L125,1)),".","") &amp; UPPER(LEFT(L125,1)) &amp; LOWER(MID(L125,2,999))&amp;"  couleur"&amp;" "&amp;C126&amp;"  intensité"&amp;" "&amp;C127</f>
        <v>N . Nom du cocktail n°4 . Avec ou sans alcool . Quand  . Verre Tumbler (old fashioned).Type de cocktail  couleur Couleur dominante à coller  intensité ****  précisez</v>
      </c>
      <c r="D128" s="52"/>
      <c r="E128" s="52"/>
      <c r="F128" s="52"/>
      <c r="G128" s="52"/>
      <c r="H128" s="52"/>
      <c r="I128" s="52"/>
      <c r="J128" s="52"/>
      <c r="K128" s="52"/>
      <c r="L128" s="30"/>
      <c r="M128" s="33"/>
      <c r="N128" s="3"/>
      <c r="O128" s="16" t="s">
        <v>20</v>
      </c>
      <c r="Q128" s="14" t="s">
        <v>105</v>
      </c>
      <c r="R128" s="49">
        <f>SUMIF(AJ135:AJ141,"VOLUME",AL135:AL141)</f>
        <v>0</v>
      </c>
      <c r="S128" s="50" t="s">
        <v>22</v>
      </c>
      <c r="T128" s="50"/>
      <c r="V128" s="44" t="s">
        <v>96</v>
      </c>
      <c r="W128" s="51">
        <f>I127</f>
        <v>15</v>
      </c>
      <c r="X128" s="46" t="str">
        <f>J127</f>
        <v>cl</v>
      </c>
      <c r="Y128" s="43"/>
      <c r="Z128" s="44" t="s">
        <v>82</v>
      </c>
      <c r="AA128" s="54" t="str">
        <f>F126</f>
        <v>Tumbler (Old Fashioned)</v>
      </c>
      <c r="AB128" s="43"/>
      <c r="AC128" s="44" t="s">
        <v>106</v>
      </c>
      <c r="AD128" s="45">
        <f>R135</f>
        <v>25</v>
      </c>
      <c r="AE128" s="46" t="s">
        <v>32</v>
      </c>
      <c r="AF128" s="4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</row>
    <row r="129" spans="1:45" ht="24.95" customHeight="1">
      <c r="A129" s="712"/>
      <c r="B129" s="27" t="s">
        <v>110</v>
      </c>
      <c r="C129" s="55" t="s">
        <v>579</v>
      </c>
      <c r="D129" s="55"/>
      <c r="E129" s="154"/>
      <c r="F129" s="154"/>
      <c r="G129" s="154"/>
      <c r="H129" s="154"/>
      <c r="I129" s="154"/>
      <c r="J129" s="154"/>
      <c r="K129" s="154"/>
      <c r="L129" s="30"/>
      <c r="M129" s="33"/>
      <c r="N129" s="3"/>
      <c r="O129" s="18" t="s">
        <v>28</v>
      </c>
      <c r="Q129" s="14" t="s">
        <v>113</v>
      </c>
      <c r="R129" s="49" t="str">
        <f>IF(OR(R128=0,NOT(ISNUMBER(I126)),I126&lt;=0),"",R128/I126/10)</f>
        <v/>
      </c>
      <c r="S129" s="50" t="s">
        <v>32</v>
      </c>
      <c r="T129" s="50"/>
      <c r="V129" s="44" t="s">
        <v>114</v>
      </c>
      <c r="W129" s="51" t="str">
        <f>IF(I127="","",IF(R135="","⚠ À CONTRÔLER",IF(I127&lt;=R135,"✔ OK","❌ DÉPASSE CAPACITÉ")))</f>
        <v>✔ OK</v>
      </c>
      <c r="X129" s="43"/>
      <c r="Y129" s="43"/>
      <c r="Z129" s="44"/>
      <c r="AA129" s="56"/>
      <c r="AB129" s="43"/>
      <c r="AC129" s="43"/>
      <c r="AD129" s="46"/>
      <c r="AE129" s="46"/>
      <c r="AF129" s="4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1:45" ht="24.95" customHeight="1">
      <c r="A130" s="712"/>
      <c r="B130" s="30"/>
      <c r="C130" s="30"/>
      <c r="D130" s="30"/>
      <c r="E130" s="30"/>
      <c r="F130" s="30"/>
      <c r="G130" s="30"/>
      <c r="H130" s="206"/>
      <c r="I130" s="30"/>
      <c r="J130" s="30"/>
      <c r="K130" s="30"/>
      <c r="L130" s="30"/>
      <c r="M130" s="33"/>
      <c r="N130" s="3"/>
      <c r="O130" s="18" t="s">
        <v>32</v>
      </c>
      <c r="Q130" s="14" t="s">
        <v>118</v>
      </c>
      <c r="R130" s="155" t="str">
        <f>IF(AN142=0,"",SUM(AQ135:AQ141)/AN142*100)</f>
        <v/>
      </c>
      <c r="S130" s="50" t="s">
        <v>88</v>
      </c>
      <c r="T130" s="50"/>
      <c r="V130" s="44" t="s">
        <v>110</v>
      </c>
      <c r="W130" s="46" t="str">
        <f>C129</f>
        <v>Description</v>
      </c>
      <c r="X130" s="43"/>
      <c r="Y130" s="43"/>
      <c r="Z130" s="44"/>
      <c r="AA130" s="56"/>
      <c r="AB130" s="43"/>
      <c r="AC130" s="43"/>
      <c r="AD130" s="46"/>
      <c r="AE130" s="46"/>
      <c r="AF130" s="4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</row>
    <row r="131" spans="1:45" ht="24.95" customHeight="1">
      <c r="A131" s="712"/>
      <c r="B131" s="57" t="s">
        <v>121</v>
      </c>
      <c r="C131" s="58" t="s">
        <v>568</v>
      </c>
      <c r="D131" s="58"/>
      <c r="E131" s="59"/>
      <c r="F131" s="57" t="s">
        <v>123</v>
      </c>
      <c r="G131" s="58"/>
      <c r="H131" s="60"/>
      <c r="I131" s="60"/>
      <c r="J131" s="61"/>
      <c r="K131" s="61"/>
      <c r="L131" s="61"/>
      <c r="M131" s="62"/>
      <c r="N131" s="3"/>
      <c r="O131" s="18" t="s">
        <v>22</v>
      </c>
      <c r="Q131" s="14" t="s">
        <v>126</v>
      </c>
      <c r="R131" s="156">
        <f>SUM(AR135:AR141)</f>
        <v>0</v>
      </c>
      <c r="S131" s="50" t="s">
        <v>90</v>
      </c>
      <c r="T131" s="50"/>
      <c r="V131" s="44" t="s">
        <v>121</v>
      </c>
      <c r="W131" s="46" t="str">
        <f>C131</f>
        <v>VOUS</v>
      </c>
      <c r="X131" s="43"/>
      <c r="Y131" s="43"/>
      <c r="Z131" s="44" t="s">
        <v>94</v>
      </c>
      <c r="AA131" s="54" t="str">
        <f>C127</f>
        <v>****  précisez</v>
      </c>
      <c r="AB131" s="43"/>
      <c r="AC131" s="759" t="str">
        <f>UPPER(LEFT(C125,1))&amp;" . "&amp;UPPER(LEFT(C125,1))&amp;LOWER(MID(C125,2,999))&amp;" . "&amp;UPPER(LEFT(F125,1))&amp;LOWER(MID(F125,2,999))&amp;" . "&amp;UPPER(LEFT(I125,1))&amp;LOWER(MID(I125,2,999))&amp;" . "&amp;"Verre "&amp;UPPER(LEFT(F126,1))&amp;LOWER(MID(F126,2,999))&amp;IF(LEFT(L125,1)=UPPER(LEFT(L125,1)),".","")&amp;UPPER(LEFT(L125,1))&amp;LOWER(MID(L125,2,999))&amp;"  couleur "&amp;C126&amp;"  intensité "&amp;C127</f>
        <v>N . Nom du cocktail n°4 . Avec ou sans alcool . Quand  . Verre Tumbler (old fashioned).Type de cocktail  couleur Couleur dominante à coller  intensité ****  précisez</v>
      </c>
      <c r="AD131" s="759"/>
      <c r="AE131" s="759"/>
      <c r="AF131" s="759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</row>
    <row r="132" spans="1:45" ht="24.95" customHeight="1">
      <c r="A132" s="712"/>
      <c r="B132" s="10" t="s">
        <v>131</v>
      </c>
      <c r="C132" s="10" t="s">
        <v>132</v>
      </c>
      <c r="D132" s="10"/>
      <c r="E132" s="10"/>
      <c r="F132" s="10"/>
      <c r="G132" s="10"/>
      <c r="H132" s="10"/>
      <c r="I132" s="10"/>
      <c r="J132" s="11" t="str">
        <f>IF(COUNTIF(C134:C140,"*~**")+COUNTIF(C134:C140,"*~?*")=0,"",IF(COUNTIF(C134:C140,"*~**")&gt;0,COUNTIF(C134:C140,"*~**")&amp;" allergène"&amp;IF(COUNTIF(C134:C140,"*~**")&gt;1,"s","")&amp;" repéré"&amp;IF(COUNTIF(C134:C140,"*~**")&gt;1,"s","")&amp;" par *","")&amp;IF(AND(COUNTIF(C134:C140,"*~**")&gt;0,COUNTIF(C134:C140,"*~?*")&gt;0)," | ","")&amp;IF(COUNTIF(C134:C140,"*~?*")&gt;0,COUNTIF(C134:C140,"*~?*")&amp;" produit"&amp;IF(COUNTIF(C134:C140,"*~?*")&gt;1,"s","")&amp;" à vérifier par ?",""))</f>
        <v/>
      </c>
      <c r="K132" s="10"/>
      <c r="L132" s="10"/>
      <c r="M132" s="63"/>
      <c r="N132" s="3"/>
      <c r="O132" s="20" t="s">
        <v>39</v>
      </c>
      <c r="Q132" s="14" t="s">
        <v>134</v>
      </c>
      <c r="R132" s="156">
        <f>IF(OR(R131="",R133="",R133=0),"",R131/R133)</f>
        <v>0</v>
      </c>
      <c r="S132" s="50" t="s">
        <v>135</v>
      </c>
      <c r="T132" s="50"/>
      <c r="V132" s="852" t="s">
        <v>136</v>
      </c>
      <c r="W132" s="853">
        <f>R131</f>
        <v>0</v>
      </c>
      <c r="X132" s="854" t="s">
        <v>90</v>
      </c>
      <c r="Y132" s="43"/>
      <c r="Z132" s="44" t="s">
        <v>137</v>
      </c>
      <c r="AA132" s="54" t="str">
        <f>C125</f>
        <v>NOM DU COCKTAIL N°4</v>
      </c>
      <c r="AB132" s="43"/>
      <c r="AC132" s="759"/>
      <c r="AD132" s="759"/>
      <c r="AE132" s="759"/>
      <c r="AF132" s="759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</row>
    <row r="133" spans="1:45" ht="24.95" customHeight="1">
      <c r="A133" s="712"/>
      <c r="B133" s="66">
        <v>0</v>
      </c>
      <c r="C133" s="64" t="s">
        <v>141</v>
      </c>
      <c r="D133" s="65" t="s">
        <v>142</v>
      </c>
      <c r="E133" s="64" t="s">
        <v>9</v>
      </c>
      <c r="F133" s="66" t="s">
        <v>143</v>
      </c>
      <c r="G133" s="66" t="s">
        <v>144</v>
      </c>
      <c r="H133" s="66" t="s">
        <v>145</v>
      </c>
      <c r="I133" s="67" t="s">
        <v>146</v>
      </c>
      <c r="J133" s="67" t="s">
        <v>847</v>
      </c>
      <c r="K133" s="67" t="s">
        <v>148</v>
      </c>
      <c r="L133" s="67" t="s">
        <v>149</v>
      </c>
      <c r="M133" s="68" t="s">
        <v>150</v>
      </c>
      <c r="N133" s="3"/>
      <c r="O133" s="20" t="s">
        <v>42</v>
      </c>
      <c r="Q133" s="14" t="s">
        <v>152</v>
      </c>
      <c r="R133" s="49">
        <f>IF(AND(ISNUMBER(R126),R126&gt;0,ISNUMBER(I127),I127&gt;0),R126*1000/(I127*10),IF(AND(ISNUMBER(R125),R125&gt;0),R125,""))</f>
        <v>10</v>
      </c>
      <c r="S133" s="50" t="s">
        <v>76</v>
      </c>
      <c r="T133" s="50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H133" s="25" t="s">
        <v>153</v>
      </c>
      <c r="AI133" s="25"/>
      <c r="AJ133" s="25" t="s">
        <v>490</v>
      </c>
      <c r="AK133" s="25"/>
      <c r="AL133" s="25"/>
      <c r="AM133" s="25"/>
      <c r="AN133" s="26"/>
      <c r="AO133" s="26"/>
      <c r="AP133" s="26"/>
      <c r="AQ133" s="26"/>
      <c r="AR133" s="26"/>
      <c r="AS133" s="26"/>
    </row>
    <row r="134" spans="1:45" ht="24.95" customHeight="1">
      <c r="A134" s="712"/>
      <c r="B134" s="158">
        <v>1</v>
      </c>
      <c r="C134" s="70"/>
      <c r="D134" s="79"/>
      <c r="E134" s="3"/>
      <c r="F134" s="72"/>
      <c r="G134" s="159"/>
      <c r="H134" s="160"/>
      <c r="I134" s="161"/>
      <c r="J134" s="73" t="s">
        <v>849</v>
      </c>
      <c r="K134" s="73"/>
      <c r="L134" s="73"/>
      <c r="M134" s="74"/>
      <c r="N134" s="3"/>
      <c r="O134" s="20" t="s">
        <v>45</v>
      </c>
      <c r="Q134" s="14" t="s">
        <v>158</v>
      </c>
      <c r="R134" s="75" t="str">
        <f>IF(AND(ISNUMBER(R126),R126&gt;0),"VOLUME TOTAL",IF(AND(ISNUMBER(R125),R125&gt;0),"NOMBRE DE COCKTAILS","RÉFÉRENCE"))</f>
        <v>NOMBRE DE COCKTAILS</v>
      </c>
      <c r="S134" s="50"/>
      <c r="T134" s="50"/>
      <c r="V134" s="831" t="s">
        <v>159</v>
      </c>
      <c r="W134" s="36" t="s">
        <v>160</v>
      </c>
      <c r="X134" s="76" t="s">
        <v>161</v>
      </c>
      <c r="Y134" s="835" t="s">
        <v>162</v>
      </c>
      <c r="Z134" s="838" t="s">
        <v>163</v>
      </c>
      <c r="AA134" s="36" t="s">
        <v>164</v>
      </c>
      <c r="AB134" s="36" t="s">
        <v>9</v>
      </c>
      <c r="AC134" s="841" t="s">
        <v>165</v>
      </c>
      <c r="AD134" s="296" t="s">
        <v>166</v>
      </c>
      <c r="AE134" s="36" t="s">
        <v>146</v>
      </c>
      <c r="AF134" s="833" t="s">
        <v>167</v>
      </c>
      <c r="AH134" s="77" t="s">
        <v>168</v>
      </c>
      <c r="AI134" s="78" t="s">
        <v>159</v>
      </c>
      <c r="AJ134" s="77" t="s">
        <v>10</v>
      </c>
      <c r="AK134" s="77" t="s">
        <v>169</v>
      </c>
      <c r="AL134" s="77" t="s">
        <v>170</v>
      </c>
      <c r="AM134" s="77" t="s">
        <v>91</v>
      </c>
      <c r="AN134" s="78" t="s">
        <v>161</v>
      </c>
      <c r="AO134" s="77" t="s">
        <v>171</v>
      </c>
      <c r="AP134" s="77" t="s">
        <v>172</v>
      </c>
      <c r="AQ134" s="77" t="s">
        <v>165</v>
      </c>
      <c r="AR134" s="77" t="s">
        <v>167</v>
      </c>
      <c r="AS134" s="77" t="s">
        <v>173</v>
      </c>
    </row>
    <row r="135" spans="1:45" ht="24.95" customHeight="1">
      <c r="A135" s="712"/>
      <c r="B135" s="162">
        <v>2</v>
      </c>
      <c r="C135" s="70"/>
      <c r="D135" s="79"/>
      <c r="E135" s="3"/>
      <c r="F135" s="72"/>
      <c r="G135" s="159"/>
      <c r="H135" s="160"/>
      <c r="I135" s="161"/>
      <c r="J135" s="73" t="s">
        <v>6989</v>
      </c>
      <c r="K135" s="73"/>
      <c r="L135" s="73"/>
      <c r="M135" s="74"/>
      <c r="N135" s="3"/>
      <c r="O135" s="20" t="s">
        <v>48</v>
      </c>
      <c r="Q135" s="14" t="s">
        <v>35</v>
      </c>
      <c r="R135" s="35">
        <f>IFERROR(VLOOKUP(F126,$BB$5:$BC$40,2,FALSE),"")</f>
        <v>25</v>
      </c>
      <c r="S135" s="50" t="s">
        <v>32</v>
      </c>
      <c r="T135" s="50"/>
      <c r="V135" s="846" t="str">
        <f t="shared" ref="V135:V141" si="66">IF(AI135="","",AI135)</f>
        <v/>
      </c>
      <c r="W135" s="848" t="str">
        <f t="shared" ref="W135:W141" si="67">IF(C134="","",IF(H134="QS","QS",D134&amp;" "&amp;E134))</f>
        <v/>
      </c>
      <c r="X135" s="81" t="str">
        <f t="shared" ref="X135:X141" si="68">IF(AN135="","",AN135)</f>
        <v/>
      </c>
      <c r="Y135" s="836" t="str">
        <f t="shared" ref="Y135:Y141" si="69">IF(C134="","",IF(H134="QS","Qt. suffisante",IF(AN135="","",IF(AJ135="VOLUME",IF(AN135&gt;=1000,TEXT(AO135,"0.00")&amp;" "&amp;AP135,IF(AN135&gt;=10,TEXT(AO135,"0.0")&amp;" "&amp;AP135&amp;" ► "&amp;TEXT(AN135/1000,"0.000")&amp;" L",TEXT(AO135,"0.0")&amp;" "&amp;AP135)),IF(AJ135="MASSE",TEXT(AO135,"0.00")&amp;" "&amp;AP135,AO135&amp;" "&amp;AP135)))))</f>
        <v/>
      </c>
      <c r="Z135" s="839" t="str">
        <f>IF(OR(C134="",AJ135&lt;&gt;"VOLUME",AN142=0),"","≈ "&amp;TEXT(ROUND(AN135/AN142*10*2,0)/2,"0.0")&amp;"/10")</f>
        <v/>
      </c>
      <c r="AA135" s="82" t="str">
        <f t="shared" ref="AA135:AA141" si="70">IF(AJ135="AUTRE",AO135,"")</f>
        <v/>
      </c>
      <c r="AB135" s="83" t="str">
        <f t="shared" ref="AB135:AB141" si="71">IF(C134="","",AP135)</f>
        <v/>
      </c>
      <c r="AC135" s="842" t="str">
        <f t="shared" ref="AC135:AC141" si="72">IF(C134="","",AQ135)</f>
        <v/>
      </c>
      <c r="AD135" s="163" t="str">
        <f t="shared" ref="AD135:AD141" si="73">IF(C134="","",IF(ISNUMBER(F134),F134,0))</f>
        <v/>
      </c>
      <c r="AE135" s="164" t="str">
        <f t="shared" ref="AE135:AE141" si="74">IF(C134="","",IF(ISNUMBER(I134),I134,""))</f>
        <v/>
      </c>
      <c r="AF135" s="855" t="str">
        <f t="shared" ref="AF135:AF141" si="75">IF(C134="","",AR135)</f>
        <v/>
      </c>
      <c r="AH135" s="84" t="str">
        <f t="shared" ref="AH135:AH141" si="76">IF(C134="","",B134)</f>
        <v/>
      </c>
      <c r="AI135" s="85" t="str">
        <f t="shared" ref="AI135:AI141" si="77">IF(C134="","",C134)</f>
        <v/>
      </c>
      <c r="AJ135" s="84" t="str">
        <f t="shared" ref="AJ135:AJ141" si="78">IF(C134="","",IFERROR(VLOOKUP(E134,$AU$5:$AY$121,2,FALSE),"UNITÉ ?"))</f>
        <v/>
      </c>
      <c r="AK135" s="84" t="str">
        <f t="shared" ref="AK135:AK141" si="79">IF(C134="","",IFERROR(VLOOKUP(E134,$AU$5:$AY$121,3,FALSE),""))</f>
        <v/>
      </c>
      <c r="AL135" s="84" t="str">
        <f t="shared" ref="AL135:AL141" si="80">IF(OR(C134="",H134="QS",NOT(ISNUMBER(D134))),"",D134*AK135)</f>
        <v/>
      </c>
      <c r="AM135" s="84" t="str">
        <f>IF(C134="","",R127)</f>
        <v/>
      </c>
      <c r="AN135" s="84" t="str">
        <f t="shared" ref="AN135:AN141" si="81">IF(C134="","",IF(H134="QS","",IF(AL135="","",IF(OR(H134="F",H134="FIXE"),AL135,AL135*AM135))))</f>
        <v/>
      </c>
      <c r="AO135" s="84" t="str">
        <f t="shared" ref="AO135:AO141" si="82">IF(C134="","",IF(H134="QS","",IF(AN135="","",IF(AJ135="VOLUME",IF(AN135&gt;=1000,ROUND(AN135/1000,2),IF(AN135&gt;=10,ROUND(AN135/10,1),ROUND(AN135,1))),IF(AJ135="MASSE",IF(AN135&gt;=1000,ROUND(AN135/1000,2),ROUND(AN135,0)),ROUND(AN135,2))))))</f>
        <v/>
      </c>
      <c r="AP135" s="84" t="str">
        <f t="shared" ref="AP135:AP141" si="83">IF(C134="","",IF(H134="QS","",IF(AN135="","",IF(AJ135="VOLUME",IF(AN135&gt;=1000,"L",IF(AN135&gt;=10,"cl","ml")),IF(AJ135="MASSE",IF(AN135&gt;=1000,"Kg","g"),IFERROR(VLOOKUP(E134,$AU$5:$AY$121,5,FALSE),E134))))))</f>
        <v/>
      </c>
      <c r="AQ135" s="84" t="str">
        <f t="shared" ref="AQ135:AQ141" si="84">IF(C134="","",IF(OR(AJ135&lt;&gt;"VOLUME",NOT(ISNUMBER(F134)),AN135=""),0,AN135*F134/100))</f>
        <v/>
      </c>
      <c r="AR135" s="84" t="str">
        <f t="shared" ref="AR135:AR141" si="85">IF(C134="","",IF(H134="QS",0,IF(NOT(ISNUMBER(I134)),0,IF(OR(AJ135="VOLUME",AJ135="MASSE"),AN135/1000*I134,AN135*I134))))</f>
        <v/>
      </c>
      <c r="AS135" s="84" t="str">
        <f t="shared" ref="AS135:AS141" si="86">IF(C134="","",IF(H134="QS","OK",IF(NOT(ISNUMBER(D134)),"QUANTITÉ ?",IF(E134="","UNITÉ ?",IF(AJ135="UNITÉ ?","UNITÉ ?",IF(AND(H134&lt;&gt;"",H134&lt;&gt;"PROP",H134&lt;&gt;"F",H134&lt;&gt;"FIXE",H134&lt;&gt;"QS"),"RÈGLE ?","OK"))))))</f>
        <v/>
      </c>
    </row>
    <row r="136" spans="1:45" ht="24.95" customHeight="1">
      <c r="A136" s="712"/>
      <c r="B136" s="158">
        <v>3</v>
      </c>
      <c r="C136" s="70"/>
      <c r="D136" s="79"/>
      <c r="E136" s="3"/>
      <c r="F136" s="72"/>
      <c r="G136" s="159"/>
      <c r="H136" s="160"/>
      <c r="I136" s="161"/>
      <c r="J136" s="73" t="s">
        <v>6990</v>
      </c>
      <c r="K136" s="73"/>
      <c r="L136" s="73"/>
      <c r="M136" s="74"/>
      <c r="N136" s="3"/>
      <c r="O136" s="20" t="s">
        <v>50</v>
      </c>
      <c r="V136" s="846" t="str">
        <f t="shared" si="66"/>
        <v/>
      </c>
      <c r="W136" s="848" t="str">
        <f t="shared" si="67"/>
        <v/>
      </c>
      <c r="X136" s="81" t="str">
        <f t="shared" si="68"/>
        <v/>
      </c>
      <c r="Y136" s="836" t="str">
        <f t="shared" si="69"/>
        <v/>
      </c>
      <c r="Z136" s="839" t="str">
        <f>IF(OR(C135="",AJ136&lt;&gt;"VOLUME",AN142=0),"","≈ "&amp;TEXT(ROUND(AN136/AN142*10*2,0)/2,"0.0")&amp;"/10")</f>
        <v/>
      </c>
      <c r="AA136" s="82" t="str">
        <f t="shared" si="70"/>
        <v/>
      </c>
      <c r="AB136" s="83" t="str">
        <f t="shared" si="71"/>
        <v/>
      </c>
      <c r="AC136" s="842" t="str">
        <f t="shared" si="72"/>
        <v/>
      </c>
      <c r="AD136" s="163" t="str">
        <f t="shared" si="73"/>
        <v/>
      </c>
      <c r="AE136" s="164" t="str">
        <f t="shared" si="74"/>
        <v/>
      </c>
      <c r="AF136" s="855" t="str">
        <f t="shared" si="75"/>
        <v/>
      </c>
      <c r="AH136" s="84" t="str">
        <f t="shared" si="76"/>
        <v/>
      </c>
      <c r="AI136" s="85" t="str">
        <f t="shared" si="77"/>
        <v/>
      </c>
      <c r="AJ136" s="84" t="str">
        <f t="shared" si="78"/>
        <v/>
      </c>
      <c r="AK136" s="84" t="str">
        <f t="shared" si="79"/>
        <v/>
      </c>
      <c r="AL136" s="84" t="str">
        <f t="shared" si="80"/>
        <v/>
      </c>
      <c r="AM136" s="84" t="str">
        <f>IF(C135="","",R127)</f>
        <v/>
      </c>
      <c r="AN136" s="84" t="str">
        <f t="shared" si="81"/>
        <v/>
      </c>
      <c r="AO136" s="84" t="str">
        <f t="shared" si="82"/>
        <v/>
      </c>
      <c r="AP136" s="84" t="str">
        <f t="shared" si="83"/>
        <v/>
      </c>
      <c r="AQ136" s="84" t="str">
        <f t="shared" si="84"/>
        <v/>
      </c>
      <c r="AR136" s="84" t="str">
        <f t="shared" si="85"/>
        <v/>
      </c>
      <c r="AS136" s="84" t="str">
        <f t="shared" si="86"/>
        <v/>
      </c>
    </row>
    <row r="137" spans="1:45" ht="24.95" customHeight="1">
      <c r="A137" s="712"/>
      <c r="B137" s="162">
        <v>4</v>
      </c>
      <c r="C137" s="70"/>
      <c r="D137" s="79"/>
      <c r="E137" s="3"/>
      <c r="F137" s="72"/>
      <c r="G137" s="159"/>
      <c r="H137" s="160"/>
      <c r="I137" s="161"/>
      <c r="J137" s="73" t="s">
        <v>6991</v>
      </c>
      <c r="K137" s="73"/>
      <c r="L137" s="73"/>
      <c r="M137" s="74"/>
      <c r="N137" s="3"/>
      <c r="O137" s="20" t="s">
        <v>52</v>
      </c>
      <c r="Q137" s="744" t="s">
        <v>566</v>
      </c>
      <c r="V137" s="846" t="str">
        <f t="shared" si="66"/>
        <v/>
      </c>
      <c r="W137" s="848" t="str">
        <f t="shared" si="67"/>
        <v/>
      </c>
      <c r="X137" s="81" t="str">
        <f t="shared" si="68"/>
        <v/>
      </c>
      <c r="Y137" s="836" t="str">
        <f t="shared" si="69"/>
        <v/>
      </c>
      <c r="Z137" s="839" t="str">
        <f>IF(OR(C136="",AJ137&lt;&gt;"VOLUME",AN142=0),"","≈ "&amp;TEXT(ROUND(AN137/AN142*10*2,0)/2,"0.0")&amp;"/10")</f>
        <v/>
      </c>
      <c r="AA137" s="82" t="str">
        <f t="shared" si="70"/>
        <v/>
      </c>
      <c r="AB137" s="83" t="str">
        <f t="shared" si="71"/>
        <v/>
      </c>
      <c r="AC137" s="842" t="str">
        <f t="shared" si="72"/>
        <v/>
      </c>
      <c r="AD137" s="163" t="str">
        <f t="shared" si="73"/>
        <v/>
      </c>
      <c r="AE137" s="164" t="str">
        <f t="shared" si="74"/>
        <v/>
      </c>
      <c r="AF137" s="855" t="str">
        <f t="shared" si="75"/>
        <v/>
      </c>
      <c r="AH137" s="84" t="str">
        <f t="shared" si="76"/>
        <v/>
      </c>
      <c r="AI137" s="85" t="str">
        <f t="shared" si="77"/>
        <v/>
      </c>
      <c r="AJ137" s="84" t="str">
        <f t="shared" si="78"/>
        <v/>
      </c>
      <c r="AK137" s="84" t="str">
        <f t="shared" si="79"/>
        <v/>
      </c>
      <c r="AL137" s="84" t="str">
        <f t="shared" si="80"/>
        <v/>
      </c>
      <c r="AM137" s="84" t="str">
        <f>IF(C136="","",R127)</f>
        <v/>
      </c>
      <c r="AN137" s="84" t="str">
        <f t="shared" si="81"/>
        <v/>
      </c>
      <c r="AO137" s="84" t="str">
        <f t="shared" si="82"/>
        <v/>
      </c>
      <c r="AP137" s="84" t="str">
        <f t="shared" si="83"/>
        <v/>
      </c>
      <c r="AQ137" s="84" t="str">
        <f t="shared" si="84"/>
        <v/>
      </c>
      <c r="AR137" s="84" t="str">
        <f t="shared" si="85"/>
        <v/>
      </c>
      <c r="AS137" s="84" t="str">
        <f t="shared" si="86"/>
        <v/>
      </c>
    </row>
    <row r="138" spans="1:45" ht="24.95" customHeight="1">
      <c r="A138" s="712"/>
      <c r="B138" s="158">
        <v>5</v>
      </c>
      <c r="C138" s="70"/>
      <c r="D138" s="79"/>
      <c r="E138" s="3"/>
      <c r="F138" s="72"/>
      <c r="G138" s="159"/>
      <c r="H138" s="160"/>
      <c r="I138" s="161"/>
      <c r="J138" s="73" t="s">
        <v>6992</v>
      </c>
      <c r="K138" s="73"/>
      <c r="L138" s="73"/>
      <c r="M138" s="74"/>
      <c r="N138" s="3"/>
      <c r="O138" s="21" t="s">
        <v>54</v>
      </c>
      <c r="Q138" s="744"/>
      <c r="V138" s="846" t="str">
        <f t="shared" si="66"/>
        <v/>
      </c>
      <c r="W138" s="848" t="str">
        <f t="shared" si="67"/>
        <v/>
      </c>
      <c r="X138" s="81" t="str">
        <f t="shared" si="68"/>
        <v/>
      </c>
      <c r="Y138" s="836" t="str">
        <f t="shared" si="69"/>
        <v/>
      </c>
      <c r="Z138" s="839" t="str">
        <f>IF(OR(C137="",AJ138&lt;&gt;"VOLUME",AN142=0),"","≈ "&amp;TEXT(ROUND(AN138/AN142*10*2,0)/2,"0.0")&amp;"/10")</f>
        <v/>
      </c>
      <c r="AA138" s="82" t="str">
        <f t="shared" si="70"/>
        <v/>
      </c>
      <c r="AB138" s="83" t="str">
        <f t="shared" si="71"/>
        <v/>
      </c>
      <c r="AC138" s="842" t="str">
        <f t="shared" si="72"/>
        <v/>
      </c>
      <c r="AD138" s="163" t="str">
        <f t="shared" si="73"/>
        <v/>
      </c>
      <c r="AE138" s="164" t="str">
        <f t="shared" si="74"/>
        <v/>
      </c>
      <c r="AF138" s="855" t="str">
        <f t="shared" si="75"/>
        <v/>
      </c>
      <c r="AH138" s="84" t="str">
        <f t="shared" si="76"/>
        <v/>
      </c>
      <c r="AI138" s="85" t="str">
        <f t="shared" si="77"/>
        <v/>
      </c>
      <c r="AJ138" s="84" t="str">
        <f t="shared" si="78"/>
        <v/>
      </c>
      <c r="AK138" s="84" t="str">
        <f t="shared" si="79"/>
        <v/>
      </c>
      <c r="AL138" s="84" t="str">
        <f t="shared" si="80"/>
        <v/>
      </c>
      <c r="AM138" s="84" t="str">
        <f>IF(C137="","",R127)</f>
        <v/>
      </c>
      <c r="AN138" s="84" t="str">
        <f t="shared" si="81"/>
        <v/>
      </c>
      <c r="AO138" s="84" t="str">
        <f t="shared" si="82"/>
        <v/>
      </c>
      <c r="AP138" s="84" t="str">
        <f t="shared" si="83"/>
        <v/>
      </c>
      <c r="AQ138" s="84" t="str">
        <f t="shared" si="84"/>
        <v/>
      </c>
      <c r="AR138" s="84" t="str">
        <f t="shared" si="85"/>
        <v/>
      </c>
      <c r="AS138" s="84" t="str">
        <f t="shared" si="86"/>
        <v/>
      </c>
    </row>
    <row r="139" spans="1:45" ht="24.95" customHeight="1">
      <c r="A139" s="712"/>
      <c r="B139" s="162"/>
      <c r="C139" s="70"/>
      <c r="D139" s="79"/>
      <c r="E139" s="3"/>
      <c r="F139" s="72"/>
      <c r="G139" s="159"/>
      <c r="H139" s="160"/>
      <c r="I139" s="161"/>
      <c r="J139" s="73" t="s">
        <v>243</v>
      </c>
      <c r="K139" s="73"/>
      <c r="L139" s="73"/>
      <c r="M139" s="74"/>
      <c r="N139" s="3"/>
      <c r="O139" s="22" t="s">
        <v>56</v>
      </c>
      <c r="V139" s="846" t="str">
        <f t="shared" si="66"/>
        <v/>
      </c>
      <c r="W139" s="848" t="str">
        <f t="shared" si="67"/>
        <v/>
      </c>
      <c r="X139" s="81" t="str">
        <f t="shared" si="68"/>
        <v/>
      </c>
      <c r="Y139" s="836" t="str">
        <f t="shared" si="69"/>
        <v/>
      </c>
      <c r="Z139" s="839" t="str">
        <f>IF(OR(C138="",AJ139&lt;&gt;"VOLUME",AN142=0),"","≈ "&amp;TEXT(ROUND(AN139/AN142*10*2,0)/2,"0.0")&amp;"/10")</f>
        <v/>
      </c>
      <c r="AA139" s="80" t="str">
        <f t="shared" si="70"/>
        <v/>
      </c>
      <c r="AB139" s="83" t="str">
        <f t="shared" si="71"/>
        <v/>
      </c>
      <c r="AC139" s="842" t="str">
        <f t="shared" si="72"/>
        <v/>
      </c>
      <c r="AD139" s="163" t="str">
        <f t="shared" si="73"/>
        <v/>
      </c>
      <c r="AE139" s="164" t="str">
        <f t="shared" si="74"/>
        <v/>
      </c>
      <c r="AF139" s="855" t="str">
        <f t="shared" si="75"/>
        <v/>
      </c>
      <c r="AH139" s="84" t="str">
        <f t="shared" si="76"/>
        <v/>
      </c>
      <c r="AI139" s="85" t="str">
        <f t="shared" si="77"/>
        <v/>
      </c>
      <c r="AJ139" s="84" t="str">
        <f t="shared" si="78"/>
        <v/>
      </c>
      <c r="AK139" s="84" t="str">
        <f t="shared" si="79"/>
        <v/>
      </c>
      <c r="AL139" s="84" t="str">
        <f t="shared" si="80"/>
        <v/>
      </c>
      <c r="AM139" s="84" t="str">
        <f>IF(C138="","",R127)</f>
        <v/>
      </c>
      <c r="AN139" s="84" t="str">
        <f t="shared" si="81"/>
        <v/>
      </c>
      <c r="AO139" s="84" t="str">
        <f t="shared" si="82"/>
        <v/>
      </c>
      <c r="AP139" s="84" t="str">
        <f t="shared" si="83"/>
        <v/>
      </c>
      <c r="AQ139" s="84" t="str">
        <f t="shared" si="84"/>
        <v/>
      </c>
      <c r="AR139" s="84" t="str">
        <f t="shared" si="85"/>
        <v/>
      </c>
      <c r="AS139" s="84" t="str">
        <f t="shared" si="86"/>
        <v/>
      </c>
    </row>
    <row r="140" spans="1:45" ht="24.95" customHeight="1">
      <c r="A140" s="712"/>
      <c r="B140" s="158"/>
      <c r="C140" s="70"/>
      <c r="D140" s="79"/>
      <c r="E140" s="3"/>
      <c r="F140" s="72"/>
      <c r="G140" s="159"/>
      <c r="H140" s="160"/>
      <c r="I140" s="161"/>
      <c r="J140" s="73" t="s">
        <v>6995</v>
      </c>
      <c r="K140" s="73"/>
      <c r="L140" s="73"/>
      <c r="M140" s="74"/>
      <c r="N140" s="3"/>
      <c r="O140" s="34" t="s">
        <v>75</v>
      </c>
      <c r="Q140" s="355" t="s">
        <v>558</v>
      </c>
      <c r="V140" s="847" t="str">
        <f t="shared" si="66"/>
        <v/>
      </c>
      <c r="W140" s="849" t="str">
        <f t="shared" si="67"/>
        <v/>
      </c>
      <c r="X140" s="86" t="str">
        <f t="shared" si="68"/>
        <v/>
      </c>
      <c r="Y140" s="837" t="str">
        <f t="shared" si="69"/>
        <v/>
      </c>
      <c r="Z140" s="840" t="str">
        <f>IF(OR(C139="",AJ140&lt;&gt;"VOLUME",AN142=0),"","≈ "&amp;TEXT(ROUND(AN140/AN142*10*2,0)/2,"0.0")&amp;"/10")</f>
        <v/>
      </c>
      <c r="AA140" s="87" t="str">
        <f t="shared" si="70"/>
        <v/>
      </c>
      <c r="AB140" s="88" t="str">
        <f t="shared" si="71"/>
        <v/>
      </c>
      <c r="AC140" s="843" t="str">
        <f t="shared" si="72"/>
        <v/>
      </c>
      <c r="AD140" s="88" t="str">
        <f t="shared" si="73"/>
        <v/>
      </c>
      <c r="AE140" s="88" t="str">
        <f t="shared" si="74"/>
        <v/>
      </c>
      <c r="AF140" s="834" t="str">
        <f t="shared" si="75"/>
        <v/>
      </c>
      <c r="AH140" s="84" t="str">
        <f t="shared" si="76"/>
        <v/>
      </c>
      <c r="AI140" s="85" t="str">
        <f t="shared" si="77"/>
        <v/>
      </c>
      <c r="AJ140" s="84" t="str">
        <f t="shared" si="78"/>
        <v/>
      </c>
      <c r="AK140" s="84" t="str">
        <f t="shared" si="79"/>
        <v/>
      </c>
      <c r="AL140" s="84" t="str">
        <f t="shared" si="80"/>
        <v/>
      </c>
      <c r="AM140" s="84" t="str">
        <f>IF(C139="","",R127)</f>
        <v/>
      </c>
      <c r="AN140" s="84" t="str">
        <f t="shared" si="81"/>
        <v/>
      </c>
      <c r="AO140" s="84" t="str">
        <f t="shared" si="82"/>
        <v/>
      </c>
      <c r="AP140" s="84" t="str">
        <f t="shared" si="83"/>
        <v/>
      </c>
      <c r="AQ140" s="84" t="str">
        <f t="shared" si="84"/>
        <v/>
      </c>
      <c r="AR140" s="84" t="str">
        <f t="shared" si="85"/>
        <v/>
      </c>
      <c r="AS140" s="84" t="str">
        <f t="shared" si="86"/>
        <v/>
      </c>
    </row>
    <row r="141" spans="1:45" ht="24.95" customHeight="1">
      <c r="A141" s="712"/>
      <c r="B141" s="14" t="s">
        <v>44</v>
      </c>
      <c r="C141" s="146" t="s">
        <v>198</v>
      </c>
      <c r="D141" s="89"/>
      <c r="E141" s="89"/>
      <c r="F141" s="89"/>
      <c r="G141" s="89"/>
      <c r="H141" s="89"/>
      <c r="I141" s="89"/>
      <c r="J141" s="89" t="s">
        <v>6996</v>
      </c>
      <c r="K141" s="89"/>
      <c r="L141" s="89"/>
      <c r="M141" s="90"/>
      <c r="N141" s="3"/>
      <c r="O141" s="34" t="s">
        <v>85</v>
      </c>
      <c r="Q141"/>
      <c r="V141" s="847" t="str">
        <f t="shared" si="66"/>
        <v/>
      </c>
      <c r="W141" s="849" t="str">
        <f t="shared" si="67"/>
        <v/>
      </c>
      <c r="X141" s="86" t="str">
        <f t="shared" si="68"/>
        <v/>
      </c>
      <c r="Y141" s="837" t="str">
        <f t="shared" si="69"/>
        <v/>
      </c>
      <c r="Z141" s="840" t="str">
        <f>IF(OR(C140="",AJ141&lt;&gt;"VOLUME",AN142=0),"","≈ "&amp;TEXT(ROUND(AN141/AN142*10*2,0)/2,"0.0")&amp;"/10")</f>
        <v/>
      </c>
      <c r="AA141" s="87" t="str">
        <f t="shared" si="70"/>
        <v/>
      </c>
      <c r="AB141" s="88" t="str">
        <f t="shared" si="71"/>
        <v/>
      </c>
      <c r="AC141" s="843" t="str">
        <f t="shared" si="72"/>
        <v/>
      </c>
      <c r="AD141" s="88" t="str">
        <f t="shared" si="73"/>
        <v/>
      </c>
      <c r="AE141" s="88" t="str">
        <f t="shared" si="74"/>
        <v/>
      </c>
      <c r="AF141" s="834" t="str">
        <f t="shared" si="75"/>
        <v/>
      </c>
      <c r="AH141" s="84" t="str">
        <f t="shared" si="76"/>
        <v/>
      </c>
      <c r="AI141" s="85" t="str">
        <f t="shared" si="77"/>
        <v/>
      </c>
      <c r="AJ141" s="84" t="str">
        <f t="shared" si="78"/>
        <v/>
      </c>
      <c r="AK141" s="84" t="str">
        <f t="shared" si="79"/>
        <v/>
      </c>
      <c r="AL141" s="84" t="str">
        <f t="shared" si="80"/>
        <v/>
      </c>
      <c r="AM141" s="84" t="str">
        <f>IF(C140="","",R127)</f>
        <v/>
      </c>
      <c r="AN141" s="84" t="str">
        <f t="shared" si="81"/>
        <v/>
      </c>
      <c r="AO141" s="84" t="str">
        <f t="shared" si="82"/>
        <v/>
      </c>
      <c r="AP141" s="84" t="str">
        <f t="shared" si="83"/>
        <v/>
      </c>
      <c r="AQ141" s="84" t="str">
        <f t="shared" si="84"/>
        <v/>
      </c>
      <c r="AR141" s="84" t="str">
        <f t="shared" si="85"/>
        <v/>
      </c>
      <c r="AS141" s="84" t="str">
        <f t="shared" si="86"/>
        <v/>
      </c>
    </row>
    <row r="142" spans="1:45" ht="24.95" customHeight="1">
      <c r="A142" s="712"/>
      <c r="B142" s="91">
        <v>0</v>
      </c>
      <c r="C142" s="10" t="s">
        <v>491</v>
      </c>
      <c r="D142" s="11"/>
      <c r="E142" s="11"/>
      <c r="F142" s="11"/>
      <c r="G142" s="11"/>
      <c r="H142" s="11"/>
      <c r="I142" s="11"/>
      <c r="J142" s="11"/>
      <c r="K142" s="11"/>
      <c r="L142" s="11"/>
      <c r="M142" s="92"/>
      <c r="N142" s="3"/>
      <c r="O142" s="34" t="s">
        <v>97</v>
      </c>
      <c r="Q142" s="29" t="s">
        <v>70</v>
      </c>
      <c r="V142" s="851" t="s">
        <v>203</v>
      </c>
      <c r="W142" s="93"/>
      <c r="X142" s="845">
        <f>AN142</f>
        <v>0</v>
      </c>
      <c r="Y142" s="835" t="str">
        <f>IF(AN142=0,"",TEXT(AN142/1000,"0.000")&amp;" L")</f>
        <v/>
      </c>
      <c r="Z142" s="857"/>
      <c r="AA142" s="93"/>
      <c r="AB142" s="93"/>
      <c r="AC142" s="832">
        <f>AQ142</f>
        <v>0</v>
      </c>
      <c r="AD142" s="844" t="str">
        <f>IF(AN142=0,"",AQ142/AN142*100)</f>
        <v/>
      </c>
      <c r="AE142" s="93"/>
      <c r="AF142" s="856">
        <f>AR142</f>
        <v>0</v>
      </c>
      <c r="AH142" s="94" t="s">
        <v>203</v>
      </c>
      <c r="AI142" s="94"/>
      <c r="AJ142" s="94"/>
      <c r="AK142" s="94"/>
      <c r="AL142" s="94"/>
      <c r="AM142" s="94"/>
      <c r="AN142" s="94">
        <f>SUMIF(AJ135:AJ141,"VOLUME",AN135:AN141)</f>
        <v>0</v>
      </c>
      <c r="AO142" s="94"/>
      <c r="AP142" s="94"/>
      <c r="AQ142" s="94">
        <f>SUM(AQ135:AQ141)</f>
        <v>0</v>
      </c>
      <c r="AR142" s="94">
        <f>SUM(AR135:AR141)</f>
        <v>0</v>
      </c>
      <c r="AS142" s="94" t="str">
        <f>IF(COUNTIF(AS135:AS141,"&lt;&gt;OK")-COUNTBLANK(AS135:AS141)=0,"OK","À CONTRÔLER")</f>
        <v>OK</v>
      </c>
    </row>
    <row r="143" spans="1:45" ht="24.95" customHeight="1">
      <c r="A143" s="712"/>
      <c r="B143" s="95">
        <v>1</v>
      </c>
      <c r="C143" s="96" t="s">
        <v>206</v>
      </c>
      <c r="D143" s="96"/>
      <c r="E143" s="96"/>
      <c r="F143" s="96"/>
      <c r="G143" s="96"/>
      <c r="H143" s="96"/>
      <c r="I143" s="96"/>
      <c r="J143" s="96"/>
      <c r="K143" s="96"/>
      <c r="L143" s="96"/>
      <c r="M143" s="74"/>
      <c r="N143" s="3"/>
      <c r="O143" s="53" t="s">
        <v>104</v>
      </c>
      <c r="Q143" s="184"/>
      <c r="V143" s="832" t="s">
        <v>208</v>
      </c>
      <c r="W143" s="19" t="s">
        <v>209</v>
      </c>
      <c r="X143" s="36"/>
      <c r="Y143" s="858"/>
      <c r="Z143" s="859"/>
      <c r="AA143" s="97"/>
      <c r="AB143" s="97"/>
      <c r="AC143" s="97"/>
      <c r="AD143" s="97"/>
      <c r="AE143" s="97"/>
      <c r="AF143" s="860"/>
      <c r="AH143" s="3" t="s">
        <v>6994</v>
      </c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24.95" customHeight="1">
      <c r="A144" s="712"/>
      <c r="B144" s="95">
        <v>2</v>
      </c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74"/>
      <c r="N144" s="3"/>
      <c r="O144" s="53" t="s">
        <v>112</v>
      </c>
      <c r="P144" s="3"/>
      <c r="Q144" s="29" t="s">
        <v>584</v>
      </c>
      <c r="V144" s="98" t="str">
        <f t="shared" ref="V144:V151" si="87">IF(C143="","",C143)</f>
        <v>Préparer le verre et le poste de travail.</v>
      </c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H144" s="146" t="s">
        <v>214</v>
      </c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3"/>
    </row>
    <row r="145" spans="1:45" ht="24.95" customHeight="1">
      <c r="A145" s="712"/>
      <c r="B145" s="95">
        <v>3</v>
      </c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74"/>
      <c r="N145" s="3"/>
      <c r="O145" s="53" t="s">
        <v>117</v>
      </c>
      <c r="P145" s="3"/>
      <c r="Q145"/>
      <c r="R145" s="3"/>
      <c r="S145" s="3"/>
      <c r="T145" s="3"/>
      <c r="U145" s="3"/>
      <c r="V145" s="98" t="str">
        <f t="shared" si="87"/>
        <v/>
      </c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H145" s="165" t="s">
        <v>219</v>
      </c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</row>
    <row r="146" spans="1:45" ht="24.95" customHeight="1">
      <c r="A146" s="712"/>
      <c r="B146" s="95">
        <v>4</v>
      </c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74"/>
      <c r="N146" s="3"/>
      <c r="O146" s="53" t="s">
        <v>125</v>
      </c>
      <c r="P146" s="3"/>
      <c r="Q146" s="356" t="s">
        <v>564</v>
      </c>
      <c r="R146" s="3"/>
      <c r="S146" s="3"/>
      <c r="T146" s="3"/>
      <c r="U146" s="3"/>
      <c r="V146" s="98" t="str">
        <f t="shared" si="87"/>
        <v/>
      </c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H146" s="166" t="s">
        <v>222</v>
      </c>
      <c r="AI146" s="167" t="s">
        <v>223</v>
      </c>
      <c r="AJ146" s="165"/>
      <c r="AK146" s="167" t="s">
        <v>224</v>
      </c>
      <c r="AL146" s="165"/>
      <c r="AM146" s="165"/>
      <c r="AN146" s="165"/>
      <c r="AO146" s="167" t="s">
        <v>225</v>
      </c>
      <c r="AP146" s="165"/>
      <c r="AQ146" s="165"/>
      <c r="AR146" s="165"/>
    </row>
    <row r="147" spans="1:45" ht="24.95" customHeight="1">
      <c r="A147" s="712"/>
      <c r="B147" s="95">
        <v>5</v>
      </c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74"/>
      <c r="N147" s="3"/>
      <c r="O147" s="53" t="s">
        <v>133</v>
      </c>
      <c r="P147" s="3"/>
      <c r="Q147"/>
      <c r="R147" s="3"/>
      <c r="S147" s="3"/>
      <c r="T147" s="3"/>
      <c r="U147" s="3"/>
      <c r="V147" s="98" t="str">
        <f t="shared" si="87"/>
        <v/>
      </c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H147" s="750" t="s">
        <v>156</v>
      </c>
      <c r="AI147" s="748" t="s">
        <v>230</v>
      </c>
      <c r="AJ147" s="748"/>
      <c r="AK147" s="749" t="s">
        <v>231</v>
      </c>
      <c r="AL147" s="749"/>
      <c r="AM147" s="749"/>
      <c r="AN147" s="749"/>
      <c r="AO147" s="746" t="s">
        <v>232</v>
      </c>
      <c r="AP147" s="746"/>
      <c r="AQ147" s="746"/>
      <c r="AR147" s="746"/>
    </row>
    <row r="148" spans="1:45" ht="24.95" customHeight="1">
      <c r="A148" s="712"/>
      <c r="B148" s="95">
        <v>6</v>
      </c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74"/>
      <c r="N148" s="3"/>
      <c r="O148" s="53" t="s">
        <v>151</v>
      </c>
      <c r="P148" s="3"/>
      <c r="Q148" s="356" t="s">
        <v>72</v>
      </c>
      <c r="R148" s="3"/>
      <c r="S148" s="3"/>
      <c r="T148" s="3"/>
      <c r="U148" s="3"/>
      <c r="V148" s="98" t="str">
        <f t="shared" si="87"/>
        <v/>
      </c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H148" s="750"/>
      <c r="AI148" s="748"/>
      <c r="AJ148" s="748"/>
      <c r="AK148" s="749"/>
      <c r="AL148" s="749"/>
      <c r="AM148" s="749"/>
      <c r="AN148" s="749"/>
      <c r="AO148" s="746"/>
      <c r="AP148" s="746"/>
      <c r="AQ148" s="746"/>
      <c r="AR148" s="746"/>
    </row>
    <row r="149" spans="1:45" ht="24.95" customHeight="1">
      <c r="A149" s="712"/>
      <c r="B149" s="95">
        <v>7</v>
      </c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74"/>
      <c r="N149" s="3"/>
      <c r="O149" s="53" t="s">
        <v>157</v>
      </c>
      <c r="P149" s="3"/>
      <c r="Q149"/>
      <c r="R149" s="3"/>
      <c r="S149" s="3"/>
      <c r="T149" s="3"/>
      <c r="U149" s="3"/>
      <c r="V149" s="98" t="str">
        <f t="shared" si="87"/>
        <v/>
      </c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H149" s="747" t="s">
        <v>492</v>
      </c>
      <c r="AI149" s="748" t="s">
        <v>241</v>
      </c>
      <c r="AJ149" s="748"/>
      <c r="AK149" s="749" t="s">
        <v>242</v>
      </c>
      <c r="AL149" s="749"/>
      <c r="AM149" s="749"/>
      <c r="AN149" s="749"/>
      <c r="AO149" s="746" t="s">
        <v>243</v>
      </c>
      <c r="AP149" s="746"/>
      <c r="AQ149" s="746"/>
      <c r="AR149" s="746"/>
    </row>
    <row r="150" spans="1:45" ht="24.95" customHeight="1">
      <c r="A150" s="712"/>
      <c r="B150" s="95">
        <v>8</v>
      </c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74"/>
      <c r="N150" s="3"/>
      <c r="O150" s="53" t="s">
        <v>177</v>
      </c>
      <c r="P150" s="3"/>
      <c r="Q150" s="356" t="s">
        <v>602</v>
      </c>
      <c r="R150" s="3"/>
      <c r="S150" s="3"/>
      <c r="T150" s="3"/>
      <c r="U150" s="3"/>
      <c r="V150" s="98" t="str">
        <f t="shared" si="87"/>
        <v/>
      </c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H150" s="747"/>
      <c r="AI150" s="748"/>
      <c r="AJ150" s="748"/>
      <c r="AK150" s="749"/>
      <c r="AL150" s="749"/>
      <c r="AM150" s="749"/>
      <c r="AN150" s="749"/>
      <c r="AO150" s="746"/>
      <c r="AP150" s="746"/>
      <c r="AQ150" s="746"/>
      <c r="AR150" s="746"/>
    </row>
    <row r="151" spans="1:45" ht="24.95" customHeight="1">
      <c r="A151" s="712"/>
      <c r="B151" s="101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90"/>
      <c r="N151" s="3"/>
      <c r="O151" s="53" t="s">
        <v>181</v>
      </c>
      <c r="P151" s="3"/>
      <c r="Q151" s="183"/>
      <c r="R151" s="3"/>
      <c r="S151" s="3"/>
      <c r="T151" s="3"/>
      <c r="U151" s="3"/>
      <c r="V151" s="98" t="str">
        <f t="shared" si="87"/>
        <v/>
      </c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H151" s="750" t="s">
        <v>6993</v>
      </c>
      <c r="AI151" s="748" t="s">
        <v>252</v>
      </c>
      <c r="AJ151" s="748"/>
      <c r="AK151" s="749" t="s">
        <v>253</v>
      </c>
      <c r="AL151" s="749"/>
      <c r="AM151" s="749"/>
      <c r="AN151" s="749"/>
      <c r="AO151" s="746" t="s">
        <v>254</v>
      </c>
      <c r="AP151" s="746"/>
      <c r="AQ151" s="746"/>
      <c r="AR151" s="746"/>
    </row>
    <row r="152" spans="1:45" ht="24.95" customHeight="1">
      <c r="A152" s="712"/>
      <c r="B152" s="10" t="s">
        <v>258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92"/>
      <c r="N152" s="3"/>
      <c r="O152" s="53" t="s">
        <v>185</v>
      </c>
      <c r="P152" s="3"/>
      <c r="Q152" s="356" t="s">
        <v>609</v>
      </c>
      <c r="R152" s="3"/>
      <c r="S152" s="3"/>
      <c r="T152" s="3"/>
      <c r="U152" s="3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H152" s="750"/>
      <c r="AI152" s="748"/>
      <c r="AJ152" s="748"/>
      <c r="AK152" s="749"/>
      <c r="AL152" s="749"/>
      <c r="AM152" s="749"/>
      <c r="AN152" s="749"/>
      <c r="AO152" s="746"/>
      <c r="AP152" s="746"/>
      <c r="AQ152" s="746"/>
      <c r="AR152" s="746"/>
    </row>
    <row r="153" spans="1:45" ht="24.95" customHeight="1">
      <c r="A153" s="712"/>
      <c r="B153" s="102" t="s">
        <v>259</v>
      </c>
      <c r="C153" s="73" t="s">
        <v>6671</v>
      </c>
      <c r="D153" s="73"/>
      <c r="E153" s="73"/>
      <c r="F153" s="73"/>
      <c r="G153" s="73"/>
      <c r="H153" s="73"/>
      <c r="I153" s="73"/>
      <c r="J153" s="73"/>
      <c r="K153" s="73"/>
      <c r="L153" s="73"/>
      <c r="M153" s="74"/>
      <c r="N153" s="3"/>
      <c r="O153" s="53" t="s">
        <v>189</v>
      </c>
      <c r="P153" s="3"/>
      <c r="R153" s="3"/>
      <c r="S153" s="3"/>
      <c r="T153" s="3"/>
      <c r="U153" s="3"/>
      <c r="V153" s="103" t="s">
        <v>260</v>
      </c>
      <c r="W153" s="103" t="s">
        <v>209</v>
      </c>
      <c r="X153" s="103"/>
      <c r="Y153" s="103"/>
      <c r="Z153" s="103"/>
      <c r="AA153" s="103"/>
      <c r="AB153" s="103"/>
      <c r="AC153" s="103"/>
      <c r="AD153" s="103"/>
      <c r="AE153" s="103"/>
      <c r="AF153" s="103"/>
      <c r="AH153" s="171" t="s">
        <v>261</v>
      </c>
      <c r="AI153" s="172"/>
      <c r="AJ153" s="165"/>
      <c r="AK153" s="165"/>
      <c r="AL153" s="165"/>
      <c r="AM153" s="165"/>
      <c r="AN153" s="165"/>
      <c r="AO153" s="165"/>
      <c r="AP153" s="165"/>
      <c r="AQ153" s="165"/>
      <c r="AR153" s="165"/>
    </row>
    <row r="154" spans="1:45" ht="24.95" customHeight="1">
      <c r="A154" s="712"/>
      <c r="B154" s="102" t="s">
        <v>262</v>
      </c>
      <c r="C154" s="73" t="s">
        <v>263</v>
      </c>
      <c r="D154" s="73"/>
      <c r="E154" s="73"/>
      <c r="F154" s="73"/>
      <c r="G154" s="73"/>
      <c r="H154" s="73"/>
      <c r="I154" s="73"/>
      <c r="J154" s="73"/>
      <c r="K154" s="73"/>
      <c r="L154" s="73"/>
      <c r="M154" s="74"/>
      <c r="N154" s="3"/>
      <c r="O154" s="53" t="s">
        <v>192</v>
      </c>
      <c r="P154" s="3"/>
      <c r="Q154" s="3"/>
      <c r="R154" s="3"/>
      <c r="S154" s="3"/>
      <c r="T154" s="3"/>
      <c r="U154" s="3"/>
      <c r="V154" s="98" t="str">
        <f>IF(C153="","",C153)</f>
        <v>Exemple &gt; Tumbler (Old Fashioned)</v>
      </c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H154" s="172" t="s">
        <v>264</v>
      </c>
      <c r="AI154" s="172"/>
      <c r="AJ154" s="165"/>
      <c r="AK154" s="172"/>
      <c r="AL154" s="165"/>
      <c r="AM154" s="165"/>
      <c r="AN154" s="165"/>
      <c r="AO154" s="172"/>
      <c r="AP154" s="165"/>
      <c r="AQ154" s="165"/>
      <c r="AR154" s="165"/>
    </row>
    <row r="155" spans="1:45" ht="24.95" customHeight="1">
      <c r="A155" s="712"/>
      <c r="B155" s="104" t="s">
        <v>267</v>
      </c>
      <c r="C155" s="105"/>
      <c r="D155" s="73"/>
      <c r="E155" s="73"/>
      <c r="F155" s="73"/>
      <c r="G155" s="73"/>
      <c r="H155" s="73"/>
      <c r="I155" s="73"/>
      <c r="J155" s="73"/>
      <c r="K155" s="73"/>
      <c r="L155" s="73"/>
      <c r="M155" s="74"/>
      <c r="N155" s="3"/>
      <c r="O155" s="53" t="s">
        <v>195</v>
      </c>
      <c r="P155" s="3"/>
      <c r="Q155" s="3"/>
      <c r="R155" s="3"/>
      <c r="S155" s="3"/>
      <c r="T155" s="3"/>
      <c r="U155" s="3"/>
      <c r="V155" s="98" t="str">
        <f>IF(C154="","",C154)</f>
        <v>Doseur / jigger ; cuillère à mélange ; bec verseur ; pince à glaçons</v>
      </c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H155" s="172" t="s">
        <v>269</v>
      </c>
      <c r="AI155" s="172"/>
      <c r="AJ155" s="173"/>
      <c r="AK155" s="173"/>
      <c r="AL155" s="165"/>
      <c r="AM155" s="165"/>
      <c r="AN155" s="165"/>
      <c r="AO155" s="165"/>
      <c r="AP155" s="165"/>
      <c r="AQ155" s="165"/>
      <c r="AR155" s="165"/>
    </row>
    <row r="156" spans="1:45" ht="24.95" customHeight="1">
      <c r="A156" s="712"/>
      <c r="N156" s="3"/>
      <c r="O156" s="53" t="s">
        <v>199</v>
      </c>
      <c r="P156" s="3"/>
      <c r="Q156" s="3"/>
      <c r="R156" s="3"/>
      <c r="S156" s="3"/>
      <c r="T156" s="3"/>
      <c r="U156" s="3"/>
      <c r="V156" s="98" t="str">
        <f>IF(C155="","",C155)</f>
        <v/>
      </c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H156" s="168" t="s">
        <v>274</v>
      </c>
      <c r="AI156" s="165"/>
      <c r="AJ156" s="173"/>
      <c r="AK156" s="173"/>
      <c r="AL156" s="165"/>
      <c r="AM156" s="165"/>
      <c r="AN156" s="165"/>
      <c r="AO156" s="165"/>
      <c r="AP156" s="165"/>
      <c r="AQ156" s="165"/>
      <c r="AR156" s="165"/>
    </row>
    <row r="157" spans="1:45" ht="24.95" customHeight="1">
      <c r="A157" s="713"/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7" t="s">
        <v>272</v>
      </c>
      <c r="N157" s="3"/>
      <c r="O157" s="53" t="s">
        <v>202</v>
      </c>
      <c r="P157" s="3"/>
      <c r="Q157" s="3"/>
      <c r="R157" s="3"/>
      <c r="S157" s="3"/>
      <c r="T157" s="3"/>
      <c r="U157" s="3"/>
      <c r="V157" s="108" t="s">
        <v>277</v>
      </c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9" t="s">
        <v>277</v>
      </c>
      <c r="AH157" s="168" t="s">
        <v>278</v>
      </c>
      <c r="AI157" s="172"/>
      <c r="AJ157" s="173"/>
      <c r="AK157" s="173"/>
      <c r="AL157" s="165"/>
      <c r="AM157" s="165"/>
      <c r="AN157" s="165"/>
      <c r="AO157" s="165"/>
      <c r="AP157" s="165"/>
      <c r="AQ157" s="165"/>
      <c r="AR157" s="165"/>
    </row>
    <row r="158" spans="1:45" ht="24.95" customHeight="1">
      <c r="A158" s="715"/>
      <c r="B158" s="716"/>
      <c r="C158" s="716"/>
      <c r="D158" s="716"/>
      <c r="E158" s="716"/>
      <c r="F158" s="716"/>
      <c r="G158" s="716"/>
      <c r="H158" s="716"/>
      <c r="I158" s="716"/>
      <c r="J158" s="716"/>
      <c r="K158" s="716"/>
      <c r="L158" s="716"/>
      <c r="M158" s="716"/>
      <c r="N158" s="717"/>
      <c r="O158" s="53" t="s">
        <v>207</v>
      </c>
      <c r="P158" s="717"/>
      <c r="Q158" s="3"/>
      <c r="R158" s="3"/>
      <c r="S158" s="3"/>
      <c r="T158" s="3"/>
      <c r="U158" s="719"/>
      <c r="V158" s="761"/>
      <c r="W158" s="761"/>
      <c r="X158" s="761"/>
      <c r="Y158" s="720"/>
      <c r="Z158" s="721"/>
      <c r="AA158" s="721"/>
      <c r="AB158" s="721"/>
      <c r="AC158" s="721"/>
      <c r="AD158" s="721"/>
      <c r="AE158" s="721"/>
      <c r="AF158" s="721"/>
      <c r="AG158" s="719"/>
      <c r="AH158" s="718"/>
      <c r="AI158" s="718"/>
      <c r="AJ158" s="718"/>
      <c r="AK158" s="718"/>
      <c r="AL158" s="718"/>
      <c r="AM158" s="722"/>
      <c r="AN158" s="722"/>
      <c r="AO158" s="722"/>
      <c r="AP158" s="722"/>
      <c r="AQ158" s="722"/>
      <c r="AR158" s="722"/>
      <c r="AS158" s="722"/>
    </row>
    <row r="159" spans="1:45" ht="24.95" customHeigh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53" t="s">
        <v>213</v>
      </c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24.95" customHeight="1">
      <c r="A160" s="149" t="s">
        <v>59</v>
      </c>
      <c r="B160" s="711" t="s">
        <v>60</v>
      </c>
      <c r="C160" s="711"/>
      <c r="D160" s="711"/>
      <c r="E160" s="711"/>
      <c r="F160" s="711"/>
      <c r="G160" s="711"/>
      <c r="H160" s="711"/>
      <c r="I160" s="711"/>
      <c r="J160" s="711"/>
      <c r="K160" s="711"/>
      <c r="L160" s="711"/>
      <c r="M160" s="711"/>
      <c r="N160" s="3"/>
      <c r="O160" s="53" t="s">
        <v>218</v>
      </c>
      <c r="P160" s="3"/>
      <c r="Q160" s="10" t="s">
        <v>61</v>
      </c>
      <c r="R160" s="10"/>
      <c r="S160" s="10"/>
      <c r="T160" s="10"/>
      <c r="V160" s="861" t="s">
        <v>62</v>
      </c>
      <c r="W160" s="861"/>
      <c r="X160" s="861"/>
      <c r="Y160" s="23" t="s">
        <v>63</v>
      </c>
      <c r="Z160" s="24"/>
      <c r="AA160" s="24"/>
      <c r="AB160" s="24"/>
      <c r="AC160" s="24"/>
      <c r="AD160" s="24"/>
      <c r="AE160" s="24"/>
      <c r="AF160" s="24"/>
      <c r="AH160" s="25" t="s">
        <v>64</v>
      </c>
      <c r="AI160" s="25"/>
      <c r="AJ160" s="25" t="s">
        <v>65</v>
      </c>
      <c r="AK160" s="25"/>
      <c r="AL160" s="25"/>
      <c r="AM160" s="26"/>
      <c r="AN160" s="26"/>
      <c r="AO160" s="26"/>
      <c r="AP160" s="26"/>
      <c r="AQ160" s="26"/>
      <c r="AR160" s="26"/>
      <c r="AS160" s="26"/>
    </row>
    <row r="161" spans="1:45" ht="24.95" customHeight="1">
      <c r="A161" s="712"/>
      <c r="B161" s="27" t="s">
        <v>67</v>
      </c>
      <c r="C161" s="28" t="s">
        <v>7260</v>
      </c>
      <c r="D161" s="28"/>
      <c r="E161" s="27" t="s">
        <v>69</v>
      </c>
      <c r="F161" s="355" t="s">
        <v>558</v>
      </c>
      <c r="G161" s="30"/>
      <c r="H161" s="27" t="s">
        <v>71</v>
      </c>
      <c r="I161" s="356" t="s">
        <v>564</v>
      </c>
      <c r="J161" s="30"/>
      <c r="K161" s="27" t="s">
        <v>73</v>
      </c>
      <c r="L161" s="32" t="s">
        <v>6669</v>
      </c>
      <c r="M161" s="33"/>
      <c r="N161" s="3"/>
      <c r="O161" s="53" t="s">
        <v>184</v>
      </c>
      <c r="P161" s="3"/>
      <c r="Q161" s="14" t="s">
        <v>27</v>
      </c>
      <c r="R161" s="35">
        <v>10</v>
      </c>
      <c r="S161" s="15" t="s">
        <v>76</v>
      </c>
      <c r="T161" s="15"/>
      <c r="V161" s="831" t="s">
        <v>77</v>
      </c>
      <c r="W161" s="862" t="str">
        <f>C161</f>
        <v>NOM DU COCKTAIL N°5</v>
      </c>
      <c r="X161" s="862"/>
      <c r="Y161" s="862"/>
      <c r="Z161" s="36" t="s">
        <v>78</v>
      </c>
      <c r="AA161" s="24" t="str">
        <f>F161</f>
        <v>Avec ou sans Alcool</v>
      </c>
      <c r="AB161" s="24"/>
      <c r="AC161" s="831" t="s">
        <v>71</v>
      </c>
      <c r="AD161" s="37" t="str">
        <f>I161</f>
        <v xml:space="preserve">Quand </v>
      </c>
      <c r="AE161" s="831" t="s">
        <v>73</v>
      </c>
      <c r="AF161" s="24" t="str">
        <f>L161</f>
        <v>TYPE DE COCKTAIL</v>
      </c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24.95" customHeight="1">
      <c r="A162" s="712"/>
      <c r="B162" s="27" t="s">
        <v>80</v>
      </c>
      <c r="C162" s="38" t="s">
        <v>561</v>
      </c>
      <c r="D162" s="30"/>
      <c r="E162" s="27" t="s">
        <v>82</v>
      </c>
      <c r="F162" s="39" t="s">
        <v>83</v>
      </c>
      <c r="G162" s="30"/>
      <c r="H162" s="27" t="s">
        <v>84</v>
      </c>
      <c r="I162" s="40">
        <v>1</v>
      </c>
      <c r="J162" s="41" t="s">
        <v>83</v>
      </c>
      <c r="K162" s="41"/>
      <c r="L162" s="42" t="s">
        <v>76</v>
      </c>
      <c r="M162" s="33"/>
      <c r="N162" s="3"/>
      <c r="O162" s="53" t="s">
        <v>229</v>
      </c>
      <c r="Q162" s="14" t="s">
        <v>31</v>
      </c>
      <c r="R162" s="35"/>
      <c r="S162" s="15" t="s">
        <v>86</v>
      </c>
      <c r="T162" s="15"/>
      <c r="V162" s="44" t="s">
        <v>87</v>
      </c>
      <c r="W162" s="150" t="str">
        <f>R166</f>
        <v/>
      </c>
      <c r="X162" s="43" t="s">
        <v>88</v>
      </c>
      <c r="Y162" s="43"/>
      <c r="Z162" s="44" t="s">
        <v>89</v>
      </c>
      <c r="AA162" s="45">
        <f>R168</f>
        <v>0</v>
      </c>
      <c r="AB162" s="46" t="s">
        <v>90</v>
      </c>
      <c r="AC162" s="44" t="s">
        <v>91</v>
      </c>
      <c r="AD162" s="45">
        <f>R163</f>
        <v>10</v>
      </c>
      <c r="AE162" s="47" t="s">
        <v>92</v>
      </c>
      <c r="AF162" s="43" t="str">
        <f>R170</f>
        <v>NOMBRE DE COCKTAILS</v>
      </c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24.95" customHeight="1">
      <c r="A163" s="712"/>
      <c r="B163" s="27" t="s">
        <v>94</v>
      </c>
      <c r="C163" s="151" t="s">
        <v>6670</v>
      </c>
      <c r="D163" s="30"/>
      <c r="E163" s="30"/>
      <c r="F163" s="30"/>
      <c r="G163" s="30"/>
      <c r="H163" s="27" t="s">
        <v>96</v>
      </c>
      <c r="I163" s="48">
        <v>15</v>
      </c>
      <c r="J163" s="152" t="s">
        <v>32</v>
      </c>
      <c r="K163" s="30"/>
      <c r="L163" s="30"/>
      <c r="M163" s="33"/>
      <c r="N163" s="3"/>
      <c r="O163" s="53" t="s">
        <v>236</v>
      </c>
      <c r="Q163" s="14" t="s">
        <v>98</v>
      </c>
      <c r="R163" s="49">
        <f>IF(AND(ISNUMBER(R162),R162&gt;0),IFERROR(R162*1000/R164,0),IF(AND(ISNUMBER(R161),R161&gt;0,ISNUMBER(I162),I162&gt;0),R161/I162,1))</f>
        <v>10</v>
      </c>
      <c r="S163" s="50" t="s">
        <v>99</v>
      </c>
      <c r="T163" s="50"/>
      <c r="V163" s="44" t="s">
        <v>100</v>
      </c>
      <c r="W163" s="51">
        <f>IF(R164="","",R164/10)</f>
        <v>0</v>
      </c>
      <c r="X163" s="46" t="s">
        <v>32</v>
      </c>
      <c r="Y163" s="43"/>
      <c r="Z163" s="44" t="s">
        <v>101</v>
      </c>
      <c r="AA163" s="45" t="str">
        <f>R165</f>
        <v/>
      </c>
      <c r="AB163" s="46" t="s">
        <v>32</v>
      </c>
      <c r="AC163" s="44" t="s">
        <v>102</v>
      </c>
      <c r="AD163" s="45">
        <f>R169</f>
        <v>10</v>
      </c>
      <c r="AE163" s="51"/>
      <c r="AF163" s="4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24.95" customHeight="1">
      <c r="A164" s="712"/>
      <c r="B164" s="27"/>
      <c r="C164" s="52" t="str">
        <f>UPPER(LEFT(C161,1)) &amp; " . " &amp; UPPER(LEFT(C161,1)) &amp; LOWER(MID(C161,2,999)) &amp; " . " &amp; UPPER(LEFT(F161,1)) &amp; LOWER(MID(F161,2,999)) &amp; " . " &amp; UPPER(LEFT(I161,1)) &amp; LOWER(MID(I161,2,999)) &amp; " . " &amp; "Verre " &amp; UPPER(LEFT(F162,1)) &amp; LOWER(MID(F162,2,999)) &amp; IF(LEFT(L161,1)=UPPER(LEFT(L161,1)),".","") &amp; UPPER(LEFT(L161,1)) &amp; LOWER(MID(L161,2,999))&amp;"  couleur"&amp;" "&amp;C162&amp;"  intensité"&amp;" "&amp;C163</f>
        <v>N . Nom du cocktail n°5 . Avec ou sans alcool . Quand  . Verre Tumbler (old fashioned).Type de cocktail  couleur Couleur dominante à coller  intensité ****  précisez</v>
      </c>
      <c r="D164" s="52"/>
      <c r="E164" s="52"/>
      <c r="F164" s="52"/>
      <c r="G164" s="52"/>
      <c r="H164" s="52"/>
      <c r="I164" s="52"/>
      <c r="J164" s="52"/>
      <c r="K164" s="52"/>
      <c r="L164" s="30"/>
      <c r="M164" s="33"/>
      <c r="N164" s="3"/>
      <c r="O164" s="99" t="s">
        <v>240</v>
      </c>
      <c r="Q164" s="14" t="s">
        <v>105</v>
      </c>
      <c r="R164" s="49">
        <f>SUMIF(AJ171:AJ177,"VOLUME",AL171:AL177)</f>
        <v>0</v>
      </c>
      <c r="S164" s="50" t="s">
        <v>22</v>
      </c>
      <c r="T164" s="50"/>
      <c r="V164" s="44" t="s">
        <v>96</v>
      </c>
      <c r="W164" s="51">
        <f>I163</f>
        <v>15</v>
      </c>
      <c r="X164" s="46" t="str">
        <f>J163</f>
        <v>cl</v>
      </c>
      <c r="Y164" s="43"/>
      <c r="Z164" s="44" t="s">
        <v>82</v>
      </c>
      <c r="AA164" s="54" t="str">
        <f>F162</f>
        <v>Tumbler (Old Fashioned)</v>
      </c>
      <c r="AB164" s="43"/>
      <c r="AC164" s="44" t="s">
        <v>106</v>
      </c>
      <c r="AD164" s="45">
        <f>R171</f>
        <v>25</v>
      </c>
      <c r="AE164" s="46" t="s">
        <v>32</v>
      </c>
      <c r="AF164" s="4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24.95" customHeight="1">
      <c r="A165" s="712"/>
      <c r="B165" s="27" t="s">
        <v>110</v>
      </c>
      <c r="C165" s="55" t="s">
        <v>579</v>
      </c>
      <c r="D165" s="55"/>
      <c r="E165" s="154"/>
      <c r="F165" s="154"/>
      <c r="G165" s="154"/>
      <c r="H165" s="154"/>
      <c r="I165" s="154"/>
      <c r="J165" s="154"/>
      <c r="K165" s="154"/>
      <c r="L165" s="30"/>
      <c r="M165" s="33"/>
      <c r="N165" s="3"/>
      <c r="O165" s="100" t="s">
        <v>248</v>
      </c>
      <c r="Q165" s="14" t="s">
        <v>113</v>
      </c>
      <c r="R165" s="49" t="str">
        <f>IF(OR(R164=0,NOT(ISNUMBER(I162)),I162&lt;=0),"",R164/I162/10)</f>
        <v/>
      </c>
      <c r="S165" s="50" t="s">
        <v>32</v>
      </c>
      <c r="T165" s="50"/>
      <c r="V165" s="44" t="s">
        <v>114</v>
      </c>
      <c r="W165" s="51" t="str">
        <f>IF(I163="","",IF(R171="","⚠ À CONTRÔLER",IF(I163&lt;=R171,"✔ OK","❌ DÉPASSE CAPACITÉ")))</f>
        <v>✔ OK</v>
      </c>
      <c r="X165" s="43"/>
      <c r="Y165" s="43"/>
      <c r="Z165" s="44"/>
      <c r="AA165" s="56"/>
      <c r="AB165" s="43"/>
      <c r="AC165" s="43"/>
      <c r="AD165" s="46"/>
      <c r="AE165" s="46"/>
      <c r="AF165" s="4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24.95" customHeight="1">
      <c r="A166" s="712"/>
      <c r="B166" s="30"/>
      <c r="C166" s="30"/>
      <c r="D166" s="30"/>
      <c r="E166" s="30"/>
      <c r="F166" s="30"/>
      <c r="G166" s="30"/>
      <c r="H166" s="206"/>
      <c r="I166" s="30"/>
      <c r="J166" s="30"/>
      <c r="K166" s="30"/>
      <c r="L166" s="30"/>
      <c r="M166" s="33"/>
      <c r="N166" s="3"/>
      <c r="O166" s="39" t="s">
        <v>251</v>
      </c>
      <c r="Q166" s="14" t="s">
        <v>118</v>
      </c>
      <c r="R166" s="155" t="str">
        <f>IF(AN178=0,"",SUM(AQ171:AQ177)/AN178*100)</f>
        <v/>
      </c>
      <c r="S166" s="50" t="s">
        <v>88</v>
      </c>
      <c r="T166" s="50"/>
      <c r="V166" s="44" t="s">
        <v>110</v>
      </c>
      <c r="W166" s="46" t="str">
        <f>C165</f>
        <v>Description</v>
      </c>
      <c r="X166" s="43"/>
      <c r="Y166" s="43"/>
      <c r="Z166" s="44"/>
      <c r="AA166" s="56"/>
      <c r="AB166" s="43"/>
      <c r="AC166" s="43"/>
      <c r="AD166" s="46"/>
      <c r="AE166" s="46"/>
      <c r="AF166" s="4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24.95" customHeight="1">
      <c r="A167" s="712"/>
      <c r="B167" s="57" t="s">
        <v>121</v>
      </c>
      <c r="C167" s="58" t="s">
        <v>568</v>
      </c>
      <c r="D167" s="58"/>
      <c r="E167" s="59"/>
      <c r="F167" s="57" t="s">
        <v>123</v>
      </c>
      <c r="G167" s="58"/>
      <c r="H167" s="60"/>
      <c r="I167" s="60"/>
      <c r="J167" s="61"/>
      <c r="K167" s="61"/>
      <c r="L167" s="61"/>
      <c r="M167" s="62"/>
      <c r="N167" s="3"/>
      <c r="O167" s="39" t="s">
        <v>255</v>
      </c>
      <c r="Q167" s="14" t="s">
        <v>126</v>
      </c>
      <c r="R167" s="156">
        <f>SUM(AR171:AR177)</f>
        <v>0</v>
      </c>
      <c r="S167" s="50" t="s">
        <v>90</v>
      </c>
      <c r="T167" s="50"/>
      <c r="V167" s="44" t="s">
        <v>121</v>
      </c>
      <c r="W167" s="46" t="str">
        <f>C167</f>
        <v>VOUS</v>
      </c>
      <c r="X167" s="43"/>
      <c r="Y167" s="43"/>
      <c r="Z167" s="44" t="s">
        <v>94</v>
      </c>
      <c r="AA167" s="54" t="str">
        <f>C163</f>
        <v>****  précisez</v>
      </c>
      <c r="AB167" s="43"/>
      <c r="AC167" s="759" t="str">
        <f>UPPER(LEFT(C161,1))&amp;" . "&amp;UPPER(LEFT(C161,1))&amp;LOWER(MID(C161,2,999))&amp;" . "&amp;UPPER(LEFT(F161,1))&amp;LOWER(MID(F161,2,999))&amp;" . "&amp;UPPER(LEFT(I161,1))&amp;LOWER(MID(I161,2,999))&amp;" . "&amp;"Verre "&amp;UPPER(LEFT(F162,1))&amp;LOWER(MID(F162,2,999))&amp;IF(LEFT(L161,1)=UPPER(LEFT(L161,1)),".","")&amp;UPPER(LEFT(L161,1))&amp;LOWER(MID(L161,2,999))&amp;"  couleur "&amp;C162&amp;"  intensité "&amp;C163</f>
        <v>N . Nom du cocktail n°5 . Avec ou sans alcool . Quand  . Verre Tumbler (old fashioned).Type de cocktail  couleur Couleur dominante à coller  intensité ****  précisez</v>
      </c>
      <c r="AD167" s="759"/>
      <c r="AE167" s="759"/>
      <c r="AF167" s="759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24.95" customHeight="1">
      <c r="A168" s="712"/>
      <c r="B168" s="10" t="s">
        <v>131</v>
      </c>
      <c r="C168" s="10" t="s">
        <v>132</v>
      </c>
      <c r="D168" s="10"/>
      <c r="E168" s="10"/>
      <c r="F168" s="10"/>
      <c r="G168" s="10"/>
      <c r="H168" s="10"/>
      <c r="I168" s="10"/>
      <c r="J168" s="11" t="str">
        <f>IF(COUNTIF(C170:C176,"*~**")+COUNTIF(C170:C176,"*~?*")=0,"",IF(COUNTIF(C170:C176,"*~**")&gt;0,COUNTIF(C170:C176,"*~**")&amp;" allergène"&amp;IF(COUNTIF(C170:C176,"*~**")&gt;1,"s","")&amp;" repéré"&amp;IF(COUNTIF(C170:C176,"*~**")&gt;1,"s","")&amp;" par *","")&amp;IF(AND(COUNTIF(C170:C176,"*~**")&gt;0,COUNTIF(C170:C176,"*~?*")&gt;0)," | ","")&amp;IF(COUNTIF(C170:C176,"*~?*")&gt;0,COUNTIF(C170:C176,"*~?*")&amp;" produit"&amp;IF(COUNTIF(C170:C176,"*~?*")&gt;1,"s","")&amp;" à vérifier par ?",""))</f>
        <v/>
      </c>
      <c r="K168" s="10"/>
      <c r="L168" s="10"/>
      <c r="M168" s="63"/>
      <c r="N168" s="3"/>
      <c r="O168" s="39" t="s">
        <v>244</v>
      </c>
      <c r="Q168" s="14" t="s">
        <v>134</v>
      </c>
      <c r="R168" s="156">
        <f>IF(OR(R167="",R169="",R169=0),"",R167/R169)</f>
        <v>0</v>
      </c>
      <c r="S168" s="50" t="s">
        <v>135</v>
      </c>
      <c r="T168" s="50"/>
      <c r="V168" s="852" t="s">
        <v>136</v>
      </c>
      <c r="W168" s="853">
        <f>R167</f>
        <v>0</v>
      </c>
      <c r="X168" s="854" t="s">
        <v>90</v>
      </c>
      <c r="Y168" s="43"/>
      <c r="Z168" s="44" t="s">
        <v>137</v>
      </c>
      <c r="AA168" s="54" t="str">
        <f>C161</f>
        <v>NOM DU COCKTAIL N°5</v>
      </c>
      <c r="AB168" s="43"/>
      <c r="AC168" s="759"/>
      <c r="AD168" s="759"/>
      <c r="AE168" s="759"/>
      <c r="AF168" s="759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24.95" customHeight="1">
      <c r="A169" s="712"/>
      <c r="B169" s="66">
        <v>0</v>
      </c>
      <c r="C169" s="64" t="s">
        <v>141</v>
      </c>
      <c r="D169" s="65" t="s">
        <v>142</v>
      </c>
      <c r="E169" s="64" t="s">
        <v>9</v>
      </c>
      <c r="F169" s="66" t="s">
        <v>143</v>
      </c>
      <c r="G169" s="66" t="s">
        <v>144</v>
      </c>
      <c r="H169" s="66" t="s">
        <v>145</v>
      </c>
      <c r="I169" s="67" t="s">
        <v>146</v>
      </c>
      <c r="J169" s="67" t="s">
        <v>847</v>
      </c>
      <c r="K169" s="67" t="s">
        <v>148</v>
      </c>
      <c r="L169" s="67" t="s">
        <v>149</v>
      </c>
      <c r="M169" s="68" t="s">
        <v>150</v>
      </c>
      <c r="N169" s="3"/>
      <c r="O169" s="39" t="s">
        <v>24</v>
      </c>
      <c r="Q169" s="14" t="s">
        <v>152</v>
      </c>
      <c r="R169" s="49">
        <f>IF(AND(ISNUMBER(R162),R162&gt;0,ISNUMBER(I163),I163&gt;0),R162*1000/(I163*10),IF(AND(ISNUMBER(R161),R161&gt;0),R161,""))</f>
        <v>10</v>
      </c>
      <c r="S169" s="50" t="s">
        <v>76</v>
      </c>
      <c r="T169" s="50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H169" s="25" t="s">
        <v>153</v>
      </c>
      <c r="AI169" s="25"/>
      <c r="AJ169" s="25" t="s">
        <v>490</v>
      </c>
      <c r="AK169" s="25"/>
      <c r="AL169" s="25"/>
      <c r="AM169" s="25"/>
      <c r="AN169" s="26"/>
      <c r="AO169" s="26"/>
      <c r="AP169" s="26"/>
      <c r="AQ169" s="26"/>
      <c r="AR169" s="26"/>
      <c r="AS169" s="26"/>
    </row>
    <row r="170" spans="1:45" ht="24.95" customHeight="1">
      <c r="A170" s="712"/>
      <c r="B170" s="158">
        <v>1</v>
      </c>
      <c r="C170" s="70"/>
      <c r="D170" s="79"/>
      <c r="E170" s="3"/>
      <c r="F170" s="72"/>
      <c r="G170" s="159"/>
      <c r="H170" s="160"/>
      <c r="I170" s="161"/>
      <c r="J170" s="73" t="s">
        <v>849</v>
      </c>
      <c r="K170" s="73"/>
      <c r="L170" s="73"/>
      <c r="M170" s="74"/>
      <c r="N170" s="3"/>
      <c r="O170" s="39" t="s">
        <v>268</v>
      </c>
      <c r="Q170" s="14" t="s">
        <v>158</v>
      </c>
      <c r="R170" s="75" t="str">
        <f>IF(AND(ISNUMBER(R162),R162&gt;0),"VOLUME TOTAL",IF(AND(ISNUMBER(R161),R161&gt;0),"NOMBRE DE COCKTAILS","RÉFÉRENCE"))</f>
        <v>NOMBRE DE COCKTAILS</v>
      </c>
      <c r="S170" s="50"/>
      <c r="T170" s="50"/>
      <c r="V170" s="831" t="s">
        <v>159</v>
      </c>
      <c r="W170" s="36" t="s">
        <v>160</v>
      </c>
      <c r="X170" s="76" t="s">
        <v>161</v>
      </c>
      <c r="Y170" s="835" t="s">
        <v>162</v>
      </c>
      <c r="Z170" s="838" t="s">
        <v>163</v>
      </c>
      <c r="AA170" s="36" t="s">
        <v>164</v>
      </c>
      <c r="AB170" s="36" t="s">
        <v>9</v>
      </c>
      <c r="AC170" s="841" t="s">
        <v>165</v>
      </c>
      <c r="AD170" s="296" t="s">
        <v>166</v>
      </c>
      <c r="AE170" s="36" t="s">
        <v>146</v>
      </c>
      <c r="AF170" s="833" t="s">
        <v>167</v>
      </c>
      <c r="AH170" s="77" t="s">
        <v>168</v>
      </c>
      <c r="AI170" s="78" t="s">
        <v>159</v>
      </c>
      <c r="AJ170" s="77" t="s">
        <v>10</v>
      </c>
      <c r="AK170" s="77" t="s">
        <v>169</v>
      </c>
      <c r="AL170" s="77" t="s">
        <v>170</v>
      </c>
      <c r="AM170" s="77" t="s">
        <v>91</v>
      </c>
      <c r="AN170" s="78" t="s">
        <v>161</v>
      </c>
      <c r="AO170" s="77" t="s">
        <v>171</v>
      </c>
      <c r="AP170" s="77" t="s">
        <v>172</v>
      </c>
      <c r="AQ170" s="77" t="s">
        <v>165</v>
      </c>
      <c r="AR170" s="77" t="s">
        <v>167</v>
      </c>
      <c r="AS170" s="77" t="s">
        <v>173</v>
      </c>
    </row>
    <row r="171" spans="1:45" ht="24.95" customHeight="1">
      <c r="A171" s="712"/>
      <c r="B171" s="162">
        <v>2</v>
      </c>
      <c r="C171" s="70"/>
      <c r="D171" s="79"/>
      <c r="E171" s="3"/>
      <c r="F171" s="72"/>
      <c r="G171" s="159"/>
      <c r="H171" s="160"/>
      <c r="I171" s="161"/>
      <c r="J171" s="73" t="s">
        <v>6989</v>
      </c>
      <c r="K171" s="73"/>
      <c r="L171" s="73"/>
      <c r="M171" s="74"/>
      <c r="N171" s="3"/>
      <c r="O171" s="39" t="s">
        <v>273</v>
      </c>
      <c r="Q171" s="14" t="s">
        <v>35</v>
      </c>
      <c r="R171" s="35">
        <f>IFERROR(VLOOKUP(F162,$BB$5:$BC$40,2,FALSE),"")</f>
        <v>25</v>
      </c>
      <c r="S171" s="50" t="s">
        <v>32</v>
      </c>
      <c r="T171" s="50"/>
      <c r="V171" s="846" t="str">
        <f t="shared" ref="V171:V177" si="88">IF(AI171="","",AI171)</f>
        <v/>
      </c>
      <c r="W171" s="848" t="str">
        <f t="shared" ref="W171:W177" si="89">IF(C170="","",IF(H170="QS","QS",D170&amp;" "&amp;E170))</f>
        <v/>
      </c>
      <c r="X171" s="81" t="str">
        <f t="shared" ref="X171:X177" si="90">IF(AN171="","",AN171)</f>
        <v/>
      </c>
      <c r="Y171" s="836" t="str">
        <f t="shared" ref="Y171:Y177" si="91">IF(C170="","",IF(H170="QS","Qt. suffisante",IF(AN171="","",IF(AJ171="VOLUME",IF(AN171&gt;=1000,TEXT(AO171,"0.00")&amp;" "&amp;AP171,IF(AN171&gt;=10,TEXT(AO171,"0.0")&amp;" "&amp;AP171&amp;" ► "&amp;TEXT(AN171/1000,"0.000")&amp;" L",TEXT(AO171,"0.0")&amp;" "&amp;AP171)),IF(AJ171="MASSE",TEXT(AO171,"0.00")&amp;" "&amp;AP171,AO171&amp;" "&amp;AP171)))))</f>
        <v/>
      </c>
      <c r="Z171" s="839" t="str">
        <f>IF(OR(C170="",AJ171&lt;&gt;"VOLUME",AN178=0),"","≈ "&amp;TEXT(ROUND(AN171/AN178*10*2,0)/2,"0.0")&amp;"/10")</f>
        <v/>
      </c>
      <c r="AA171" s="82" t="str">
        <f t="shared" ref="AA171:AA177" si="92">IF(AJ171="AUTRE",AO171,"")</f>
        <v/>
      </c>
      <c r="AB171" s="83" t="str">
        <f t="shared" ref="AB171:AB177" si="93">IF(C170="","",AP171)</f>
        <v/>
      </c>
      <c r="AC171" s="842" t="str">
        <f t="shared" ref="AC171:AC177" si="94">IF(C170="","",AQ171)</f>
        <v/>
      </c>
      <c r="AD171" s="163" t="str">
        <f t="shared" ref="AD171:AD177" si="95">IF(C170="","",IF(ISNUMBER(F170),F170,0))</f>
        <v/>
      </c>
      <c r="AE171" s="164" t="str">
        <f t="shared" ref="AE171:AE177" si="96">IF(C170="","",IF(ISNUMBER(I170),I170,""))</f>
        <v/>
      </c>
      <c r="AF171" s="855" t="str">
        <f t="shared" ref="AF171:AF177" si="97">IF(C170="","",AR171)</f>
        <v/>
      </c>
      <c r="AH171" s="84" t="str">
        <f t="shared" ref="AH171:AH177" si="98">IF(C170="","",B170)</f>
        <v/>
      </c>
      <c r="AI171" s="85" t="str">
        <f t="shared" ref="AI171:AI177" si="99">IF(C170="","",C170)</f>
        <v/>
      </c>
      <c r="AJ171" s="84" t="str">
        <f t="shared" ref="AJ171:AJ177" si="100">IF(C170="","",IFERROR(VLOOKUP(E170,$AU$5:$AY$121,2,FALSE),"UNITÉ ?"))</f>
        <v/>
      </c>
      <c r="AK171" s="84" t="str">
        <f t="shared" ref="AK171:AK177" si="101">IF(C170="","",IFERROR(VLOOKUP(E170,$AU$5:$AY$121,3,FALSE),""))</f>
        <v/>
      </c>
      <c r="AL171" s="84" t="str">
        <f t="shared" ref="AL171:AL177" si="102">IF(OR(C170="",H170="QS",NOT(ISNUMBER(D170))),"",D170*AK171)</f>
        <v/>
      </c>
      <c r="AM171" s="84" t="str">
        <f>IF(C170="","",R163)</f>
        <v/>
      </c>
      <c r="AN171" s="84" t="str">
        <f t="shared" ref="AN171:AN177" si="103">IF(C170="","",IF(H170="QS","",IF(AL171="","",IF(OR(H170="F",H170="FIXE"),AL171,AL171*AM171))))</f>
        <v/>
      </c>
      <c r="AO171" s="84" t="str">
        <f t="shared" ref="AO171:AO177" si="104">IF(C170="","",IF(H170="QS","",IF(AN171="","",IF(AJ171="VOLUME",IF(AN171&gt;=1000,ROUND(AN171/1000,2),IF(AN171&gt;=10,ROUND(AN171/10,1),ROUND(AN171,1))),IF(AJ171="MASSE",IF(AN171&gt;=1000,ROUND(AN171/1000,2),ROUND(AN171,0)),ROUND(AN171,2))))))</f>
        <v/>
      </c>
      <c r="AP171" s="84" t="str">
        <f t="shared" ref="AP171:AP177" si="105">IF(C170="","",IF(H170="QS","",IF(AN171="","",IF(AJ171="VOLUME",IF(AN171&gt;=1000,"L",IF(AN171&gt;=10,"cl","ml")),IF(AJ171="MASSE",IF(AN171&gt;=1000,"Kg","g"),IFERROR(VLOOKUP(E170,$AU$5:$AY$121,5,FALSE),E170))))))</f>
        <v/>
      </c>
      <c r="AQ171" s="84" t="str">
        <f t="shared" ref="AQ171:AQ177" si="106">IF(C170="","",IF(OR(AJ171&lt;&gt;"VOLUME",NOT(ISNUMBER(F170)),AN171=""),0,AN171*F170/100))</f>
        <v/>
      </c>
      <c r="AR171" s="84" t="str">
        <f t="shared" ref="AR171:AR177" si="107">IF(C170="","",IF(H170="QS",0,IF(NOT(ISNUMBER(I170)),0,IF(OR(AJ171="VOLUME",AJ171="MASSE"),AN171/1000*I170,AN171*I170))))</f>
        <v/>
      </c>
      <c r="AS171" s="84" t="str">
        <f t="shared" ref="AS171:AS177" si="108">IF(C170="","",IF(H170="QS","OK",IF(NOT(ISNUMBER(D170)),"QUANTITÉ ?",IF(E170="","UNITÉ ?",IF(AJ171="UNITÉ ?","UNITÉ ?",IF(AND(H170&lt;&gt;"",H170&lt;&gt;"PROP",H170&lt;&gt;"F",H170&lt;&gt;"FIXE",H170&lt;&gt;"QS"),"RÈGLE ?","OK"))))))</f>
        <v/>
      </c>
    </row>
    <row r="172" spans="1:45" ht="24.95" customHeight="1">
      <c r="A172" s="712"/>
      <c r="B172" s="158">
        <v>3</v>
      </c>
      <c r="C172" s="70"/>
      <c r="D172" s="79"/>
      <c r="E172" s="3"/>
      <c r="F172" s="72"/>
      <c r="G172" s="159"/>
      <c r="H172" s="160"/>
      <c r="I172" s="161"/>
      <c r="J172" s="73" t="s">
        <v>6990</v>
      </c>
      <c r="K172" s="73"/>
      <c r="L172" s="73"/>
      <c r="M172" s="74"/>
      <c r="N172" s="3"/>
      <c r="O172" s="39" t="s">
        <v>29</v>
      </c>
      <c r="V172" s="846" t="str">
        <f t="shared" si="88"/>
        <v/>
      </c>
      <c r="W172" s="848" t="str">
        <f t="shared" si="89"/>
        <v/>
      </c>
      <c r="X172" s="81" t="str">
        <f t="shared" si="90"/>
        <v/>
      </c>
      <c r="Y172" s="836" t="str">
        <f t="shared" si="91"/>
        <v/>
      </c>
      <c r="Z172" s="839" t="str">
        <f>IF(OR(C171="",AJ172&lt;&gt;"VOLUME",AN178=0),"","≈ "&amp;TEXT(ROUND(AN172/AN178*10*2,0)/2,"0.0")&amp;"/10")</f>
        <v/>
      </c>
      <c r="AA172" s="82" t="str">
        <f t="shared" si="92"/>
        <v/>
      </c>
      <c r="AB172" s="83" t="str">
        <f t="shared" si="93"/>
        <v/>
      </c>
      <c r="AC172" s="842" t="str">
        <f t="shared" si="94"/>
        <v/>
      </c>
      <c r="AD172" s="163" t="str">
        <f t="shared" si="95"/>
        <v/>
      </c>
      <c r="AE172" s="164" t="str">
        <f t="shared" si="96"/>
        <v/>
      </c>
      <c r="AF172" s="855" t="str">
        <f t="shared" si="97"/>
        <v/>
      </c>
      <c r="AH172" s="84" t="str">
        <f t="shared" si="98"/>
        <v/>
      </c>
      <c r="AI172" s="85" t="str">
        <f t="shared" si="99"/>
        <v/>
      </c>
      <c r="AJ172" s="84" t="str">
        <f t="shared" si="100"/>
        <v/>
      </c>
      <c r="AK172" s="84" t="str">
        <f t="shared" si="101"/>
        <v/>
      </c>
      <c r="AL172" s="84" t="str">
        <f t="shared" si="102"/>
        <v/>
      </c>
      <c r="AM172" s="84" t="str">
        <f>IF(C171="","",R163)</f>
        <v/>
      </c>
      <c r="AN172" s="84" t="str">
        <f t="shared" si="103"/>
        <v/>
      </c>
      <c r="AO172" s="84" t="str">
        <f t="shared" si="104"/>
        <v/>
      </c>
      <c r="AP172" s="84" t="str">
        <f t="shared" si="105"/>
        <v/>
      </c>
      <c r="AQ172" s="84" t="str">
        <f t="shared" si="106"/>
        <v/>
      </c>
      <c r="AR172" s="84" t="str">
        <f t="shared" si="107"/>
        <v/>
      </c>
      <c r="AS172" s="84" t="str">
        <f t="shared" si="108"/>
        <v/>
      </c>
    </row>
    <row r="173" spans="1:45" ht="24.95" customHeight="1">
      <c r="A173" s="712"/>
      <c r="B173" s="162">
        <v>4</v>
      </c>
      <c r="C173" s="70"/>
      <c r="D173" s="79"/>
      <c r="E173" s="3"/>
      <c r="F173" s="72"/>
      <c r="G173" s="159"/>
      <c r="H173" s="160"/>
      <c r="I173" s="161"/>
      <c r="J173" s="73" t="s">
        <v>6991</v>
      </c>
      <c r="K173" s="73"/>
      <c r="L173" s="73"/>
      <c r="M173" s="74"/>
      <c r="N173" s="3"/>
      <c r="O173" s="39" t="s">
        <v>280</v>
      </c>
      <c r="Q173" s="744" t="s">
        <v>566</v>
      </c>
      <c r="V173" s="846" t="str">
        <f t="shared" si="88"/>
        <v/>
      </c>
      <c r="W173" s="848" t="str">
        <f t="shared" si="89"/>
        <v/>
      </c>
      <c r="X173" s="81" t="str">
        <f t="shared" si="90"/>
        <v/>
      </c>
      <c r="Y173" s="836" t="str">
        <f t="shared" si="91"/>
        <v/>
      </c>
      <c r="Z173" s="839" t="str">
        <f>IF(OR(C172="",AJ173&lt;&gt;"VOLUME",AN178=0),"","≈ "&amp;TEXT(ROUND(AN173/AN178*10*2,0)/2,"0.0")&amp;"/10")</f>
        <v/>
      </c>
      <c r="AA173" s="82" t="str">
        <f t="shared" si="92"/>
        <v/>
      </c>
      <c r="AB173" s="83" t="str">
        <f t="shared" si="93"/>
        <v/>
      </c>
      <c r="AC173" s="842" t="str">
        <f t="shared" si="94"/>
        <v/>
      </c>
      <c r="AD173" s="163" t="str">
        <f t="shared" si="95"/>
        <v/>
      </c>
      <c r="AE173" s="164" t="str">
        <f t="shared" si="96"/>
        <v/>
      </c>
      <c r="AF173" s="855" t="str">
        <f t="shared" si="97"/>
        <v/>
      </c>
      <c r="AH173" s="84" t="str">
        <f t="shared" si="98"/>
        <v/>
      </c>
      <c r="AI173" s="85" t="str">
        <f t="shared" si="99"/>
        <v/>
      </c>
      <c r="AJ173" s="84" t="str">
        <f t="shared" si="100"/>
        <v/>
      </c>
      <c r="AK173" s="84" t="str">
        <f t="shared" si="101"/>
        <v/>
      </c>
      <c r="AL173" s="84" t="str">
        <f t="shared" si="102"/>
        <v/>
      </c>
      <c r="AM173" s="84" t="str">
        <f>IF(C172="","",R163)</f>
        <v/>
      </c>
      <c r="AN173" s="84" t="str">
        <f t="shared" si="103"/>
        <v/>
      </c>
      <c r="AO173" s="84" t="str">
        <f t="shared" si="104"/>
        <v/>
      </c>
      <c r="AP173" s="84" t="str">
        <f t="shared" si="105"/>
        <v/>
      </c>
      <c r="AQ173" s="84" t="str">
        <f t="shared" si="106"/>
        <v/>
      </c>
      <c r="AR173" s="84" t="str">
        <f t="shared" si="107"/>
        <v/>
      </c>
      <c r="AS173" s="84" t="str">
        <f t="shared" si="108"/>
        <v/>
      </c>
    </row>
    <row r="174" spans="1:45" ht="24.95" customHeight="1">
      <c r="A174" s="712"/>
      <c r="B174" s="158">
        <v>5</v>
      </c>
      <c r="C174" s="70"/>
      <c r="D174" s="79"/>
      <c r="E174" s="3"/>
      <c r="F174" s="72"/>
      <c r="G174" s="159"/>
      <c r="H174" s="160"/>
      <c r="I174" s="161"/>
      <c r="J174" s="73" t="s">
        <v>6992</v>
      </c>
      <c r="K174" s="73"/>
      <c r="L174" s="73"/>
      <c r="M174" s="74"/>
      <c r="N174" s="3"/>
      <c r="O174" s="39" t="s">
        <v>283</v>
      </c>
      <c r="Q174" s="744"/>
      <c r="V174" s="846" t="str">
        <f t="shared" si="88"/>
        <v/>
      </c>
      <c r="W174" s="848" t="str">
        <f t="shared" si="89"/>
        <v/>
      </c>
      <c r="X174" s="81" t="str">
        <f t="shared" si="90"/>
        <v/>
      </c>
      <c r="Y174" s="836" t="str">
        <f t="shared" si="91"/>
        <v/>
      </c>
      <c r="Z174" s="839" t="str">
        <f>IF(OR(C173="",AJ174&lt;&gt;"VOLUME",AN178=0),"","≈ "&amp;TEXT(ROUND(AN174/AN178*10*2,0)/2,"0.0")&amp;"/10")</f>
        <v/>
      </c>
      <c r="AA174" s="82" t="str">
        <f t="shared" si="92"/>
        <v/>
      </c>
      <c r="AB174" s="83" t="str">
        <f t="shared" si="93"/>
        <v/>
      </c>
      <c r="AC174" s="842" t="str">
        <f t="shared" si="94"/>
        <v/>
      </c>
      <c r="AD174" s="163" t="str">
        <f t="shared" si="95"/>
        <v/>
      </c>
      <c r="AE174" s="164" t="str">
        <f t="shared" si="96"/>
        <v/>
      </c>
      <c r="AF174" s="855" t="str">
        <f t="shared" si="97"/>
        <v/>
      </c>
      <c r="AH174" s="84" t="str">
        <f t="shared" si="98"/>
        <v/>
      </c>
      <c r="AI174" s="85" t="str">
        <f t="shared" si="99"/>
        <v/>
      </c>
      <c r="AJ174" s="84" t="str">
        <f t="shared" si="100"/>
        <v/>
      </c>
      <c r="AK174" s="84" t="str">
        <f t="shared" si="101"/>
        <v/>
      </c>
      <c r="AL174" s="84" t="str">
        <f t="shared" si="102"/>
        <v/>
      </c>
      <c r="AM174" s="84" t="str">
        <f>IF(C173="","",R163)</f>
        <v/>
      </c>
      <c r="AN174" s="84" t="str">
        <f t="shared" si="103"/>
        <v/>
      </c>
      <c r="AO174" s="84" t="str">
        <f t="shared" si="104"/>
        <v/>
      </c>
      <c r="AP174" s="84" t="str">
        <f t="shared" si="105"/>
        <v/>
      </c>
      <c r="AQ174" s="84" t="str">
        <f t="shared" si="106"/>
        <v/>
      </c>
      <c r="AR174" s="84" t="str">
        <f t="shared" si="107"/>
        <v/>
      </c>
      <c r="AS174" s="84" t="str">
        <f t="shared" si="108"/>
        <v/>
      </c>
    </row>
    <row r="175" spans="1:45" ht="24.95" customHeight="1">
      <c r="A175" s="712"/>
      <c r="B175" s="162"/>
      <c r="C175" s="70"/>
      <c r="D175" s="79"/>
      <c r="E175" s="3"/>
      <c r="F175" s="72"/>
      <c r="G175" s="159"/>
      <c r="H175" s="160"/>
      <c r="I175" s="161"/>
      <c r="J175" s="73" t="s">
        <v>243</v>
      </c>
      <c r="K175" s="73"/>
      <c r="L175" s="73"/>
      <c r="M175" s="74"/>
      <c r="N175" s="3"/>
      <c r="O175" s="39" t="s">
        <v>33</v>
      </c>
      <c r="V175" s="846" t="str">
        <f t="shared" si="88"/>
        <v/>
      </c>
      <c r="W175" s="848" t="str">
        <f t="shared" si="89"/>
        <v/>
      </c>
      <c r="X175" s="81" t="str">
        <f t="shared" si="90"/>
        <v/>
      </c>
      <c r="Y175" s="836" t="str">
        <f t="shared" si="91"/>
        <v/>
      </c>
      <c r="Z175" s="839" t="str">
        <f>IF(OR(C174="",AJ175&lt;&gt;"VOLUME",AN178=0),"","≈ "&amp;TEXT(ROUND(AN175/AN178*10*2,0)/2,"0.0")&amp;"/10")</f>
        <v/>
      </c>
      <c r="AA175" s="80" t="str">
        <f t="shared" si="92"/>
        <v/>
      </c>
      <c r="AB175" s="83" t="str">
        <f t="shared" si="93"/>
        <v/>
      </c>
      <c r="AC175" s="842" t="str">
        <f t="shared" si="94"/>
        <v/>
      </c>
      <c r="AD175" s="163" t="str">
        <f t="shared" si="95"/>
        <v/>
      </c>
      <c r="AE175" s="164" t="str">
        <f t="shared" si="96"/>
        <v/>
      </c>
      <c r="AF175" s="855" t="str">
        <f t="shared" si="97"/>
        <v/>
      </c>
      <c r="AH175" s="84" t="str">
        <f t="shared" si="98"/>
        <v/>
      </c>
      <c r="AI175" s="85" t="str">
        <f t="shared" si="99"/>
        <v/>
      </c>
      <c r="AJ175" s="84" t="str">
        <f t="shared" si="100"/>
        <v/>
      </c>
      <c r="AK175" s="84" t="str">
        <f t="shared" si="101"/>
        <v/>
      </c>
      <c r="AL175" s="84" t="str">
        <f t="shared" si="102"/>
        <v/>
      </c>
      <c r="AM175" s="84" t="str">
        <f>IF(C174="","",R163)</f>
        <v/>
      </c>
      <c r="AN175" s="84" t="str">
        <f t="shared" si="103"/>
        <v/>
      </c>
      <c r="AO175" s="84" t="str">
        <f t="shared" si="104"/>
        <v/>
      </c>
      <c r="AP175" s="84" t="str">
        <f t="shared" si="105"/>
        <v/>
      </c>
      <c r="AQ175" s="84" t="str">
        <f t="shared" si="106"/>
        <v/>
      </c>
      <c r="AR175" s="84" t="str">
        <f t="shared" si="107"/>
        <v/>
      </c>
      <c r="AS175" s="84" t="str">
        <f t="shared" si="108"/>
        <v/>
      </c>
    </row>
    <row r="176" spans="1:45" ht="24.95" customHeight="1">
      <c r="A176" s="712"/>
      <c r="B176" s="158"/>
      <c r="C176" s="70"/>
      <c r="D176" s="79"/>
      <c r="E176" s="3"/>
      <c r="F176" s="72"/>
      <c r="G176" s="159"/>
      <c r="H176" s="160"/>
      <c r="I176" s="161"/>
      <c r="J176" s="73" t="s">
        <v>6995</v>
      </c>
      <c r="K176" s="73"/>
      <c r="L176" s="73"/>
      <c r="M176" s="74"/>
      <c r="N176" s="3"/>
      <c r="O176" s="39" t="s">
        <v>40</v>
      </c>
      <c r="Q176" s="355" t="s">
        <v>558</v>
      </c>
      <c r="V176" s="847" t="str">
        <f t="shared" si="88"/>
        <v/>
      </c>
      <c r="W176" s="849" t="str">
        <f t="shared" si="89"/>
        <v/>
      </c>
      <c r="X176" s="86" t="str">
        <f t="shared" si="90"/>
        <v/>
      </c>
      <c r="Y176" s="837" t="str">
        <f t="shared" si="91"/>
        <v/>
      </c>
      <c r="Z176" s="840" t="str">
        <f>IF(OR(C175="",AJ176&lt;&gt;"VOLUME",AN178=0),"","≈ "&amp;TEXT(ROUND(AN176/AN178*10*2,0)/2,"0.0")&amp;"/10")</f>
        <v/>
      </c>
      <c r="AA176" s="87" t="str">
        <f t="shared" si="92"/>
        <v/>
      </c>
      <c r="AB176" s="88" t="str">
        <f t="shared" si="93"/>
        <v/>
      </c>
      <c r="AC176" s="843" t="str">
        <f t="shared" si="94"/>
        <v/>
      </c>
      <c r="AD176" s="88" t="str">
        <f t="shared" si="95"/>
        <v/>
      </c>
      <c r="AE176" s="88" t="str">
        <f t="shared" si="96"/>
        <v/>
      </c>
      <c r="AF176" s="834" t="str">
        <f t="shared" si="97"/>
        <v/>
      </c>
      <c r="AH176" s="84" t="str">
        <f t="shared" si="98"/>
        <v/>
      </c>
      <c r="AI176" s="85" t="str">
        <f t="shared" si="99"/>
        <v/>
      </c>
      <c r="AJ176" s="84" t="str">
        <f t="shared" si="100"/>
        <v/>
      </c>
      <c r="AK176" s="84" t="str">
        <f t="shared" si="101"/>
        <v/>
      </c>
      <c r="AL176" s="84" t="str">
        <f t="shared" si="102"/>
        <v/>
      </c>
      <c r="AM176" s="84" t="str">
        <f>IF(C175="","",R163)</f>
        <v/>
      </c>
      <c r="AN176" s="84" t="str">
        <f t="shared" si="103"/>
        <v/>
      </c>
      <c r="AO176" s="84" t="str">
        <f t="shared" si="104"/>
        <v/>
      </c>
      <c r="AP176" s="84" t="str">
        <f t="shared" si="105"/>
        <v/>
      </c>
      <c r="AQ176" s="84" t="str">
        <f t="shared" si="106"/>
        <v/>
      </c>
      <c r="AR176" s="84" t="str">
        <f t="shared" si="107"/>
        <v/>
      </c>
      <c r="AS176" s="84" t="str">
        <f t="shared" si="108"/>
        <v/>
      </c>
    </row>
    <row r="177" spans="1:45" ht="24.95" customHeight="1">
      <c r="A177" s="712"/>
      <c r="B177" s="14" t="s">
        <v>44</v>
      </c>
      <c r="C177" s="146" t="s">
        <v>198</v>
      </c>
      <c r="D177" s="89"/>
      <c r="E177" s="89"/>
      <c r="F177" s="89"/>
      <c r="G177" s="89"/>
      <c r="H177" s="89"/>
      <c r="I177" s="89"/>
      <c r="J177" s="89" t="s">
        <v>6996</v>
      </c>
      <c r="K177" s="89"/>
      <c r="L177" s="89"/>
      <c r="M177" s="90"/>
      <c r="N177" s="3"/>
      <c r="O177" s="39" t="s">
        <v>43</v>
      </c>
      <c r="Q177"/>
      <c r="V177" s="847" t="str">
        <f t="shared" si="88"/>
        <v/>
      </c>
      <c r="W177" s="849" t="str">
        <f t="shared" si="89"/>
        <v/>
      </c>
      <c r="X177" s="86" t="str">
        <f t="shared" si="90"/>
        <v/>
      </c>
      <c r="Y177" s="837" t="str">
        <f t="shared" si="91"/>
        <v/>
      </c>
      <c r="Z177" s="840" t="str">
        <f>IF(OR(C176="",AJ177&lt;&gt;"VOLUME",AN178=0),"","≈ "&amp;TEXT(ROUND(AN177/AN178*10*2,0)/2,"0.0")&amp;"/10")</f>
        <v/>
      </c>
      <c r="AA177" s="87" t="str">
        <f t="shared" si="92"/>
        <v/>
      </c>
      <c r="AB177" s="88" t="str">
        <f t="shared" si="93"/>
        <v/>
      </c>
      <c r="AC177" s="843" t="str">
        <f t="shared" si="94"/>
        <v/>
      </c>
      <c r="AD177" s="88" t="str">
        <f t="shared" si="95"/>
        <v/>
      </c>
      <c r="AE177" s="88" t="str">
        <f t="shared" si="96"/>
        <v/>
      </c>
      <c r="AF177" s="834" t="str">
        <f t="shared" si="97"/>
        <v/>
      </c>
      <c r="AH177" s="84" t="str">
        <f t="shared" si="98"/>
        <v/>
      </c>
      <c r="AI177" s="85" t="str">
        <f t="shared" si="99"/>
        <v/>
      </c>
      <c r="AJ177" s="84" t="str">
        <f t="shared" si="100"/>
        <v/>
      </c>
      <c r="AK177" s="84" t="str">
        <f t="shared" si="101"/>
        <v/>
      </c>
      <c r="AL177" s="84" t="str">
        <f t="shared" si="102"/>
        <v/>
      </c>
      <c r="AM177" s="84" t="str">
        <f>IF(C176="","",R163)</f>
        <v/>
      </c>
      <c r="AN177" s="84" t="str">
        <f t="shared" si="103"/>
        <v/>
      </c>
      <c r="AO177" s="84" t="str">
        <f t="shared" si="104"/>
        <v/>
      </c>
      <c r="AP177" s="84" t="str">
        <f t="shared" si="105"/>
        <v/>
      </c>
      <c r="AQ177" s="84" t="str">
        <f t="shared" si="106"/>
        <v/>
      </c>
      <c r="AR177" s="84" t="str">
        <f t="shared" si="107"/>
        <v/>
      </c>
      <c r="AS177" s="84" t="str">
        <f t="shared" si="108"/>
        <v/>
      </c>
    </row>
    <row r="178" spans="1:45" ht="24.95" customHeight="1">
      <c r="A178" s="712"/>
      <c r="B178" s="91">
        <v>0</v>
      </c>
      <c r="C178" s="10" t="s">
        <v>491</v>
      </c>
      <c r="D178" s="11"/>
      <c r="E178" s="11"/>
      <c r="F178" s="11"/>
      <c r="G178" s="11"/>
      <c r="H178" s="11"/>
      <c r="I178" s="11"/>
      <c r="J178" s="11"/>
      <c r="K178" s="11"/>
      <c r="L178" s="11"/>
      <c r="M178" s="92"/>
      <c r="N178" s="3"/>
      <c r="O178" s="39" t="s">
        <v>46</v>
      </c>
      <c r="Q178" s="29" t="s">
        <v>70</v>
      </c>
      <c r="V178" s="851" t="s">
        <v>203</v>
      </c>
      <c r="W178" s="93"/>
      <c r="X178" s="845">
        <f>AN178</f>
        <v>0</v>
      </c>
      <c r="Y178" s="835" t="str">
        <f>IF(AN178=0,"",TEXT(AN178/1000,"0.000")&amp;" L")</f>
        <v/>
      </c>
      <c r="Z178" s="857"/>
      <c r="AA178" s="93"/>
      <c r="AB178" s="93"/>
      <c r="AC178" s="832">
        <f>AQ178</f>
        <v>0</v>
      </c>
      <c r="AD178" s="844" t="str">
        <f>IF(AN178=0,"",AQ178/AN178*100)</f>
        <v/>
      </c>
      <c r="AE178" s="93"/>
      <c r="AF178" s="856">
        <f>AR178</f>
        <v>0</v>
      </c>
      <c r="AH178" s="94" t="s">
        <v>203</v>
      </c>
      <c r="AI178" s="94"/>
      <c r="AJ178" s="94"/>
      <c r="AK178" s="94"/>
      <c r="AL178" s="94"/>
      <c r="AM178" s="94"/>
      <c r="AN178" s="94">
        <f>SUMIF(AJ171:AJ177,"VOLUME",AN171:AN177)</f>
        <v>0</v>
      </c>
      <c r="AO178" s="94"/>
      <c r="AP178" s="94"/>
      <c r="AQ178" s="94">
        <f>SUM(AQ171:AQ177)</f>
        <v>0</v>
      </c>
      <c r="AR178" s="94">
        <f>SUM(AR171:AR177)</f>
        <v>0</v>
      </c>
      <c r="AS178" s="94" t="str">
        <f>IF(COUNTIF(AS171:AS177,"&lt;&gt;OK")-COUNTBLANK(AS171:AS177)=0,"OK","À CONTRÔLER")</f>
        <v>OK</v>
      </c>
    </row>
    <row r="179" spans="1:45" ht="24.95" customHeight="1">
      <c r="A179" s="712"/>
      <c r="B179" s="95">
        <v>1</v>
      </c>
      <c r="C179" s="96" t="s">
        <v>206</v>
      </c>
      <c r="D179" s="96"/>
      <c r="E179" s="96"/>
      <c r="F179" s="96"/>
      <c r="G179" s="96"/>
      <c r="H179" s="96"/>
      <c r="I179" s="96"/>
      <c r="J179" s="96"/>
      <c r="K179" s="96"/>
      <c r="L179" s="96"/>
      <c r="M179" s="74"/>
      <c r="N179" s="3"/>
      <c r="O179" s="39" t="s">
        <v>299</v>
      </c>
      <c r="Q179" s="184"/>
      <c r="V179" s="832" t="s">
        <v>208</v>
      </c>
      <c r="W179" s="19" t="s">
        <v>209</v>
      </c>
      <c r="X179" s="36"/>
      <c r="Y179" s="858"/>
      <c r="Z179" s="859"/>
      <c r="AA179" s="97"/>
      <c r="AB179" s="97"/>
      <c r="AC179" s="97"/>
      <c r="AD179" s="97"/>
      <c r="AE179" s="97"/>
      <c r="AF179" s="860"/>
      <c r="AH179" s="3" t="s">
        <v>6994</v>
      </c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24.95" customHeight="1">
      <c r="A180" s="712"/>
      <c r="B180" s="95">
        <v>2</v>
      </c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74"/>
      <c r="N180" s="3"/>
      <c r="O180" s="39" t="s">
        <v>302</v>
      </c>
      <c r="P180" s="3"/>
      <c r="Q180" s="29" t="s">
        <v>584</v>
      </c>
      <c r="V180" s="98" t="str">
        <f t="shared" ref="V180:V187" si="109">IF(C179="","",C179)</f>
        <v>Préparer le verre et le poste de travail.</v>
      </c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H180" s="146" t="s">
        <v>214</v>
      </c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3"/>
    </row>
    <row r="181" spans="1:45" ht="24.95" customHeight="1">
      <c r="A181" s="712"/>
      <c r="B181" s="95">
        <v>3</v>
      </c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74"/>
      <c r="N181" s="3"/>
      <c r="O181" s="39" t="s">
        <v>305</v>
      </c>
      <c r="P181" s="3"/>
      <c r="Q181"/>
      <c r="R181" s="3"/>
      <c r="S181" s="3"/>
      <c r="T181" s="3"/>
      <c r="U181" s="3"/>
      <c r="V181" s="98" t="str">
        <f t="shared" si="109"/>
        <v/>
      </c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H181" s="165" t="s">
        <v>219</v>
      </c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</row>
    <row r="182" spans="1:45" ht="24.95" customHeight="1">
      <c r="A182" s="712"/>
      <c r="B182" s="95">
        <v>4</v>
      </c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74"/>
      <c r="N182" s="3"/>
      <c r="O182" s="39" t="s">
        <v>307</v>
      </c>
      <c r="P182" s="3"/>
      <c r="Q182" s="356" t="s">
        <v>564</v>
      </c>
      <c r="R182" s="3"/>
      <c r="S182" s="3"/>
      <c r="T182" s="3"/>
      <c r="U182" s="3"/>
      <c r="V182" s="98" t="str">
        <f t="shared" si="109"/>
        <v/>
      </c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H182" s="166" t="s">
        <v>222</v>
      </c>
      <c r="AI182" s="167" t="s">
        <v>223</v>
      </c>
      <c r="AJ182" s="165"/>
      <c r="AK182" s="167" t="s">
        <v>224</v>
      </c>
      <c r="AL182" s="165"/>
      <c r="AM182" s="165"/>
      <c r="AN182" s="165"/>
      <c r="AO182" s="167" t="s">
        <v>225</v>
      </c>
      <c r="AP182" s="165"/>
      <c r="AQ182" s="165"/>
      <c r="AR182" s="165"/>
    </row>
    <row r="183" spans="1:45" ht="24.95" customHeight="1">
      <c r="A183" s="712"/>
      <c r="B183" s="95">
        <v>5</v>
      </c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74"/>
      <c r="N183" s="3"/>
      <c r="O183" s="39" t="s">
        <v>310</v>
      </c>
      <c r="P183" s="3"/>
      <c r="Q183"/>
      <c r="R183" s="3"/>
      <c r="S183" s="3"/>
      <c r="T183" s="3"/>
      <c r="U183" s="3"/>
      <c r="V183" s="98" t="str">
        <f t="shared" si="109"/>
        <v/>
      </c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H183" s="750" t="s">
        <v>156</v>
      </c>
      <c r="AI183" s="748" t="s">
        <v>230</v>
      </c>
      <c r="AJ183" s="748"/>
      <c r="AK183" s="749" t="s">
        <v>231</v>
      </c>
      <c r="AL183" s="749"/>
      <c r="AM183" s="749"/>
      <c r="AN183" s="749"/>
      <c r="AO183" s="746" t="s">
        <v>232</v>
      </c>
      <c r="AP183" s="746"/>
      <c r="AQ183" s="746"/>
      <c r="AR183" s="746"/>
    </row>
    <row r="184" spans="1:45" ht="24.95" customHeight="1">
      <c r="A184" s="712"/>
      <c r="B184" s="95">
        <v>6</v>
      </c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74"/>
      <c r="N184" s="3"/>
      <c r="O184" s="39" t="s">
        <v>313</v>
      </c>
      <c r="P184" s="3"/>
      <c r="Q184" s="356" t="s">
        <v>72</v>
      </c>
      <c r="R184" s="3"/>
      <c r="S184" s="3"/>
      <c r="T184" s="3"/>
      <c r="U184" s="3"/>
      <c r="V184" s="98" t="str">
        <f t="shared" si="109"/>
        <v/>
      </c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H184" s="750"/>
      <c r="AI184" s="748"/>
      <c r="AJ184" s="748"/>
      <c r="AK184" s="749"/>
      <c r="AL184" s="749"/>
      <c r="AM184" s="749"/>
      <c r="AN184" s="749"/>
      <c r="AO184" s="746"/>
      <c r="AP184" s="746"/>
      <c r="AQ184" s="746"/>
      <c r="AR184" s="746"/>
    </row>
    <row r="185" spans="1:45" ht="24.95" customHeight="1">
      <c r="A185" s="712"/>
      <c r="B185" s="95">
        <v>7</v>
      </c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74"/>
      <c r="N185" s="3"/>
      <c r="O185" s="39" t="s">
        <v>49</v>
      </c>
      <c r="P185" s="3"/>
      <c r="Q185"/>
      <c r="R185" s="3"/>
      <c r="S185" s="3"/>
      <c r="T185" s="3"/>
      <c r="U185" s="3"/>
      <c r="V185" s="98" t="str">
        <f t="shared" si="109"/>
        <v/>
      </c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H185" s="747" t="s">
        <v>492</v>
      </c>
      <c r="AI185" s="748" t="s">
        <v>241</v>
      </c>
      <c r="AJ185" s="748"/>
      <c r="AK185" s="749" t="s">
        <v>242</v>
      </c>
      <c r="AL185" s="749"/>
      <c r="AM185" s="749"/>
      <c r="AN185" s="749"/>
      <c r="AO185" s="746" t="s">
        <v>243</v>
      </c>
      <c r="AP185" s="746"/>
      <c r="AQ185" s="746"/>
      <c r="AR185" s="746"/>
    </row>
    <row r="186" spans="1:45" ht="24.95" customHeight="1">
      <c r="A186" s="712"/>
      <c r="B186" s="95">
        <v>8</v>
      </c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74"/>
      <c r="N186" s="3"/>
      <c r="O186" s="39" t="s">
        <v>316</v>
      </c>
      <c r="P186" s="3"/>
      <c r="Q186" s="356" t="s">
        <v>602</v>
      </c>
      <c r="R186" s="3"/>
      <c r="S186" s="3"/>
      <c r="T186" s="3"/>
      <c r="U186" s="3"/>
      <c r="V186" s="98" t="str">
        <f t="shared" si="109"/>
        <v/>
      </c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H186" s="747"/>
      <c r="AI186" s="748"/>
      <c r="AJ186" s="748"/>
      <c r="AK186" s="749"/>
      <c r="AL186" s="749"/>
      <c r="AM186" s="749"/>
      <c r="AN186" s="749"/>
      <c r="AO186" s="746"/>
      <c r="AP186" s="746"/>
      <c r="AQ186" s="746"/>
      <c r="AR186" s="746"/>
    </row>
    <row r="187" spans="1:45" ht="24.95" customHeight="1">
      <c r="A187" s="712"/>
      <c r="B187" s="101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90"/>
      <c r="N187" s="3"/>
      <c r="O187" s="39" t="s">
        <v>318</v>
      </c>
      <c r="P187" s="3"/>
      <c r="Q187" s="183"/>
      <c r="R187" s="3"/>
      <c r="S187" s="3"/>
      <c r="T187" s="3"/>
      <c r="U187" s="3"/>
      <c r="V187" s="98" t="str">
        <f t="shared" si="109"/>
        <v/>
      </c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H187" s="750" t="s">
        <v>6993</v>
      </c>
      <c r="AI187" s="748" t="s">
        <v>252</v>
      </c>
      <c r="AJ187" s="748"/>
      <c r="AK187" s="749" t="s">
        <v>253</v>
      </c>
      <c r="AL187" s="749"/>
      <c r="AM187" s="749"/>
      <c r="AN187" s="749"/>
      <c r="AO187" s="746" t="s">
        <v>254</v>
      </c>
      <c r="AP187" s="746"/>
      <c r="AQ187" s="746"/>
      <c r="AR187" s="746"/>
    </row>
    <row r="188" spans="1:45" ht="24.95" customHeight="1">
      <c r="A188" s="712"/>
      <c r="B188" s="10" t="s">
        <v>258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92"/>
      <c r="N188" s="3"/>
      <c r="O188" s="39" t="s">
        <v>320</v>
      </c>
      <c r="P188" s="3"/>
      <c r="Q188" s="356" t="s">
        <v>609</v>
      </c>
      <c r="R188" s="3"/>
      <c r="S188" s="3"/>
      <c r="T188" s="3"/>
      <c r="U188" s="3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H188" s="750"/>
      <c r="AI188" s="748"/>
      <c r="AJ188" s="748"/>
      <c r="AK188" s="749"/>
      <c r="AL188" s="749"/>
      <c r="AM188" s="749"/>
      <c r="AN188" s="749"/>
      <c r="AO188" s="746"/>
      <c r="AP188" s="746"/>
      <c r="AQ188" s="746"/>
      <c r="AR188" s="746"/>
    </row>
    <row r="189" spans="1:45" ht="24.95" customHeight="1">
      <c r="A189" s="712"/>
      <c r="B189" s="102" t="s">
        <v>259</v>
      </c>
      <c r="C189" s="73" t="s">
        <v>6671</v>
      </c>
      <c r="D189" s="73"/>
      <c r="E189" s="73"/>
      <c r="F189" s="73"/>
      <c r="G189" s="73"/>
      <c r="H189" s="73"/>
      <c r="I189" s="73"/>
      <c r="J189" s="73"/>
      <c r="K189" s="73"/>
      <c r="L189" s="73"/>
      <c r="M189" s="74"/>
      <c r="N189" s="3"/>
      <c r="O189" s="39" t="s">
        <v>53</v>
      </c>
      <c r="P189" s="3"/>
      <c r="R189" s="3"/>
      <c r="S189" s="3"/>
      <c r="T189" s="3"/>
      <c r="U189" s="3"/>
      <c r="V189" s="103" t="s">
        <v>260</v>
      </c>
      <c r="W189" s="103" t="s">
        <v>209</v>
      </c>
      <c r="X189" s="103"/>
      <c r="Y189" s="103"/>
      <c r="Z189" s="103"/>
      <c r="AA189" s="103"/>
      <c r="AB189" s="103"/>
      <c r="AC189" s="103"/>
      <c r="AD189" s="103"/>
      <c r="AE189" s="103"/>
      <c r="AF189" s="103"/>
      <c r="AH189" s="171" t="s">
        <v>261</v>
      </c>
      <c r="AI189" s="172"/>
      <c r="AJ189" s="165"/>
      <c r="AK189" s="165"/>
      <c r="AL189" s="165"/>
      <c r="AM189" s="165"/>
      <c r="AN189" s="165"/>
      <c r="AO189" s="165"/>
      <c r="AP189" s="165"/>
      <c r="AQ189" s="165"/>
      <c r="AR189" s="165"/>
    </row>
    <row r="190" spans="1:45" ht="24.95" customHeight="1">
      <c r="A190" s="712"/>
      <c r="B190" s="102" t="s">
        <v>262</v>
      </c>
      <c r="C190" s="73" t="s">
        <v>263</v>
      </c>
      <c r="D190" s="73"/>
      <c r="E190" s="73"/>
      <c r="F190" s="73"/>
      <c r="G190" s="73"/>
      <c r="H190" s="73"/>
      <c r="I190" s="73"/>
      <c r="J190" s="73"/>
      <c r="K190" s="73"/>
      <c r="L190" s="73"/>
      <c r="M190" s="74"/>
      <c r="N190" s="3"/>
      <c r="O190" s="39" t="s">
        <v>58</v>
      </c>
      <c r="P190" s="3"/>
      <c r="Q190" s="3"/>
      <c r="R190" s="3"/>
      <c r="S190" s="3"/>
      <c r="T190" s="3"/>
      <c r="U190" s="3"/>
      <c r="V190" s="98" t="str">
        <f>IF(C189="","",C189)</f>
        <v>Exemple &gt; Tumbler (Old Fashioned)</v>
      </c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H190" s="172" t="s">
        <v>264</v>
      </c>
      <c r="AI190" s="172"/>
      <c r="AJ190" s="165"/>
      <c r="AK190" s="172"/>
      <c r="AL190" s="165"/>
      <c r="AM190" s="165"/>
      <c r="AN190" s="165"/>
      <c r="AO190" s="172"/>
      <c r="AP190" s="165"/>
      <c r="AQ190" s="165"/>
      <c r="AR190" s="165"/>
    </row>
    <row r="191" spans="1:45" ht="24.95" customHeight="1">
      <c r="A191" s="712"/>
      <c r="B191" s="104" t="s">
        <v>267</v>
      </c>
      <c r="C191" s="105"/>
      <c r="D191" s="73"/>
      <c r="E191" s="73"/>
      <c r="F191" s="73"/>
      <c r="G191" s="73"/>
      <c r="H191" s="73"/>
      <c r="I191" s="73"/>
      <c r="J191" s="73"/>
      <c r="K191" s="73"/>
      <c r="L191" s="73"/>
      <c r="M191" s="74"/>
      <c r="N191" s="3"/>
      <c r="O191" s="39" t="s">
        <v>79</v>
      </c>
      <c r="P191" s="3"/>
      <c r="Q191" s="3"/>
      <c r="R191" s="3"/>
      <c r="S191" s="3"/>
      <c r="T191" s="3"/>
      <c r="U191" s="3"/>
      <c r="V191" s="98" t="str">
        <f>IF(C190="","",C190)</f>
        <v>Doseur / jigger ; cuillère à mélange ; bec verseur ; pince à glaçons</v>
      </c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H191" s="172" t="s">
        <v>269</v>
      </c>
      <c r="AI191" s="172"/>
      <c r="AJ191" s="173"/>
      <c r="AK191" s="173"/>
      <c r="AL191" s="165"/>
      <c r="AM191" s="165"/>
      <c r="AN191" s="165"/>
      <c r="AO191" s="165"/>
      <c r="AP191" s="165"/>
      <c r="AQ191" s="165"/>
      <c r="AR191" s="165"/>
    </row>
    <row r="192" spans="1:45" ht="24.95" customHeight="1">
      <c r="A192" s="712"/>
      <c r="N192" s="3"/>
      <c r="O192" s="39" t="s">
        <v>109</v>
      </c>
      <c r="P192" s="3"/>
      <c r="Q192" s="3"/>
      <c r="R192" s="3"/>
      <c r="S192" s="3"/>
      <c r="T192" s="3"/>
      <c r="U192" s="3"/>
      <c r="V192" s="98" t="str">
        <f>IF(C191="","",C191)</f>
        <v/>
      </c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H192" s="168" t="s">
        <v>274</v>
      </c>
      <c r="AI192" s="165"/>
      <c r="AJ192" s="173"/>
      <c r="AK192" s="173"/>
      <c r="AL192" s="165"/>
      <c r="AM192" s="165"/>
      <c r="AN192" s="165"/>
      <c r="AO192" s="165"/>
      <c r="AP192" s="165"/>
      <c r="AQ192" s="165"/>
      <c r="AR192" s="165"/>
    </row>
    <row r="193" spans="1:45" ht="24.95" customHeight="1">
      <c r="A193" s="713"/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7" t="s">
        <v>272</v>
      </c>
      <c r="N193" s="3"/>
      <c r="O193" s="39" t="s">
        <v>326</v>
      </c>
      <c r="P193" s="3"/>
      <c r="Q193" s="3"/>
      <c r="R193" s="3"/>
      <c r="S193" s="3"/>
      <c r="T193" s="3"/>
      <c r="U193" s="3"/>
      <c r="V193" s="108" t="s">
        <v>277</v>
      </c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9" t="s">
        <v>277</v>
      </c>
      <c r="AH193" s="168" t="s">
        <v>278</v>
      </c>
      <c r="AI193" s="172"/>
      <c r="AJ193" s="173"/>
      <c r="AK193" s="173"/>
      <c r="AL193" s="165"/>
      <c r="AM193" s="165"/>
      <c r="AN193" s="165"/>
      <c r="AO193" s="165"/>
      <c r="AP193" s="165"/>
      <c r="AQ193" s="165"/>
      <c r="AR193" s="165"/>
    </row>
    <row r="194" spans="1:45" ht="24.95" customHeight="1">
      <c r="A194" s="715"/>
      <c r="B194" s="716"/>
      <c r="C194" s="716"/>
      <c r="D194" s="716"/>
      <c r="E194" s="716"/>
      <c r="F194" s="716"/>
      <c r="G194" s="716"/>
      <c r="H194" s="716"/>
      <c r="I194" s="716"/>
      <c r="J194" s="716"/>
      <c r="K194" s="716"/>
      <c r="L194" s="716"/>
      <c r="M194" s="716"/>
      <c r="N194" s="717"/>
      <c r="O194" s="39" t="s">
        <v>120</v>
      </c>
      <c r="P194" s="717"/>
      <c r="Q194" s="3"/>
      <c r="R194" s="3"/>
      <c r="S194" s="3"/>
      <c r="T194" s="3"/>
      <c r="U194" s="719"/>
      <c r="V194" s="761"/>
      <c r="W194" s="761"/>
      <c r="X194" s="761"/>
      <c r="Y194" s="720"/>
      <c r="Z194" s="721"/>
      <c r="AA194" s="721"/>
      <c r="AB194" s="721"/>
      <c r="AC194" s="721"/>
      <c r="AD194" s="721"/>
      <c r="AE194" s="721"/>
      <c r="AF194" s="721"/>
      <c r="AG194" s="719"/>
      <c r="AH194" s="718"/>
      <c r="AI194" s="718"/>
      <c r="AJ194" s="718"/>
      <c r="AK194" s="718"/>
      <c r="AL194" s="718"/>
      <c r="AM194" s="722"/>
      <c r="AN194" s="722"/>
      <c r="AO194" s="722"/>
      <c r="AP194" s="722"/>
      <c r="AQ194" s="722"/>
      <c r="AR194" s="722"/>
      <c r="AS194" s="722"/>
    </row>
    <row r="195" spans="1:45" ht="24.95" customHeight="1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9" t="s">
        <v>130</v>
      </c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24.95" customHeight="1">
      <c r="A196" s="149" t="s">
        <v>59</v>
      </c>
      <c r="B196" s="711" t="s">
        <v>60</v>
      </c>
      <c r="C196" s="711"/>
      <c r="D196" s="711"/>
      <c r="E196" s="711"/>
      <c r="F196" s="711"/>
      <c r="G196" s="711"/>
      <c r="H196" s="711"/>
      <c r="I196" s="711"/>
      <c r="J196" s="711"/>
      <c r="K196" s="711"/>
      <c r="L196" s="711"/>
      <c r="M196" s="711"/>
      <c r="N196" s="3"/>
      <c r="O196" s="39" t="s">
        <v>140</v>
      </c>
      <c r="P196" s="3"/>
      <c r="Q196" s="10" t="s">
        <v>61</v>
      </c>
      <c r="R196" s="10"/>
      <c r="S196" s="10"/>
      <c r="T196" s="10"/>
      <c r="V196" s="861" t="s">
        <v>62</v>
      </c>
      <c r="W196" s="861"/>
      <c r="X196" s="861"/>
      <c r="Y196" s="23" t="s">
        <v>63</v>
      </c>
      <c r="Z196" s="24"/>
      <c r="AA196" s="24"/>
      <c r="AB196" s="24"/>
      <c r="AC196" s="24"/>
      <c r="AD196" s="24"/>
      <c r="AE196" s="24"/>
      <c r="AF196" s="24"/>
      <c r="AH196" s="25" t="s">
        <v>64</v>
      </c>
      <c r="AI196" s="25"/>
      <c r="AJ196" s="25" t="s">
        <v>65</v>
      </c>
      <c r="AK196" s="25"/>
      <c r="AL196" s="25"/>
      <c r="AM196" s="26"/>
      <c r="AN196" s="26"/>
      <c r="AO196" s="26"/>
      <c r="AP196" s="26"/>
      <c r="AQ196" s="26"/>
      <c r="AR196" s="26"/>
      <c r="AS196" s="26"/>
    </row>
    <row r="197" spans="1:45" ht="24.95" customHeight="1">
      <c r="A197" s="712"/>
      <c r="B197" s="27" t="s">
        <v>67</v>
      </c>
      <c r="C197" s="28" t="s">
        <v>7261</v>
      </c>
      <c r="D197" s="28"/>
      <c r="E197" s="27" t="s">
        <v>69</v>
      </c>
      <c r="F197" s="355" t="s">
        <v>558</v>
      </c>
      <c r="G197" s="30"/>
      <c r="H197" s="27" t="s">
        <v>71</v>
      </c>
      <c r="I197" s="356" t="s">
        <v>564</v>
      </c>
      <c r="J197" s="30"/>
      <c r="K197" s="27" t="s">
        <v>73</v>
      </c>
      <c r="L197" s="32" t="s">
        <v>6669</v>
      </c>
      <c r="M197" s="33"/>
      <c r="N197" s="3"/>
      <c r="O197" s="39" t="s">
        <v>331</v>
      </c>
      <c r="P197" s="3"/>
      <c r="Q197" s="14" t="s">
        <v>27</v>
      </c>
      <c r="R197" s="35">
        <v>10</v>
      </c>
      <c r="S197" s="15" t="s">
        <v>76</v>
      </c>
      <c r="T197" s="15"/>
      <c r="V197" s="831" t="s">
        <v>77</v>
      </c>
      <c r="W197" s="862" t="str">
        <f>C197</f>
        <v>NOM DU COCKTAIL N°6</v>
      </c>
      <c r="X197" s="862"/>
      <c r="Y197" s="862"/>
      <c r="Z197" s="36" t="s">
        <v>78</v>
      </c>
      <c r="AA197" s="24" t="str">
        <f>F197</f>
        <v>Avec ou sans Alcool</v>
      </c>
      <c r="AB197" s="24"/>
      <c r="AC197" s="831" t="s">
        <v>71</v>
      </c>
      <c r="AD197" s="37" t="str">
        <f>I197</f>
        <v xml:space="preserve">Quand </v>
      </c>
      <c r="AE197" s="831" t="s">
        <v>73</v>
      </c>
      <c r="AF197" s="24" t="str">
        <f>L197</f>
        <v>TYPE DE COCKTAIL</v>
      </c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24.95" customHeight="1">
      <c r="A198" s="712"/>
      <c r="B198" s="27" t="s">
        <v>80</v>
      </c>
      <c r="C198" s="38" t="s">
        <v>561</v>
      </c>
      <c r="D198" s="30"/>
      <c r="E198" s="27" t="s">
        <v>82</v>
      </c>
      <c r="F198" s="39" t="s">
        <v>83</v>
      </c>
      <c r="G198" s="30"/>
      <c r="H198" s="27" t="s">
        <v>84</v>
      </c>
      <c r="I198" s="40">
        <v>1</v>
      </c>
      <c r="J198" s="41" t="s">
        <v>83</v>
      </c>
      <c r="K198" s="41"/>
      <c r="L198" s="42" t="s">
        <v>76</v>
      </c>
      <c r="M198" s="33"/>
      <c r="N198" s="3"/>
      <c r="O198" s="39" t="s">
        <v>333</v>
      </c>
      <c r="Q198" s="14" t="s">
        <v>31</v>
      </c>
      <c r="R198" s="35"/>
      <c r="S198" s="15" t="s">
        <v>86</v>
      </c>
      <c r="T198" s="15"/>
      <c r="V198" s="44" t="s">
        <v>87</v>
      </c>
      <c r="W198" s="150" t="str">
        <f>R202</f>
        <v/>
      </c>
      <c r="X198" s="43" t="s">
        <v>88</v>
      </c>
      <c r="Y198" s="43"/>
      <c r="Z198" s="44" t="s">
        <v>89</v>
      </c>
      <c r="AA198" s="45">
        <f>R204</f>
        <v>0</v>
      </c>
      <c r="AB198" s="46" t="s">
        <v>90</v>
      </c>
      <c r="AC198" s="44" t="s">
        <v>91</v>
      </c>
      <c r="AD198" s="45">
        <f>R199</f>
        <v>10</v>
      </c>
      <c r="AE198" s="47" t="s">
        <v>92</v>
      </c>
      <c r="AF198" s="43" t="str">
        <f>R206</f>
        <v>NOMBRE DE COCKTAILS</v>
      </c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24.95" customHeight="1">
      <c r="A199" s="712"/>
      <c r="B199" s="27" t="s">
        <v>94</v>
      </c>
      <c r="C199" s="151" t="s">
        <v>6670</v>
      </c>
      <c r="D199" s="30"/>
      <c r="E199" s="30"/>
      <c r="F199" s="30"/>
      <c r="G199" s="30"/>
      <c r="H199" s="27" t="s">
        <v>96</v>
      </c>
      <c r="I199" s="48">
        <v>15</v>
      </c>
      <c r="J199" s="152" t="s">
        <v>32</v>
      </c>
      <c r="K199" s="30"/>
      <c r="L199" s="30"/>
      <c r="M199" s="33"/>
      <c r="N199" s="3"/>
      <c r="O199" s="39" t="s">
        <v>334</v>
      </c>
      <c r="Q199" s="14" t="s">
        <v>98</v>
      </c>
      <c r="R199" s="49">
        <f>IF(AND(ISNUMBER(R198),R198&gt;0),IFERROR(R198*1000/R200,0),IF(AND(ISNUMBER(R197),R197&gt;0,ISNUMBER(I198),I198&gt;0),R197/I198,1))</f>
        <v>10</v>
      </c>
      <c r="S199" s="50" t="s">
        <v>99</v>
      </c>
      <c r="T199" s="50"/>
      <c r="V199" s="44" t="s">
        <v>100</v>
      </c>
      <c r="W199" s="51">
        <f>IF(R200="","",R200/10)</f>
        <v>0</v>
      </c>
      <c r="X199" s="46" t="s">
        <v>32</v>
      </c>
      <c r="Y199" s="43"/>
      <c r="Z199" s="44" t="s">
        <v>101</v>
      </c>
      <c r="AA199" s="45" t="str">
        <f>R201</f>
        <v/>
      </c>
      <c r="AB199" s="46" t="s">
        <v>32</v>
      </c>
      <c r="AC199" s="44" t="s">
        <v>102</v>
      </c>
      <c r="AD199" s="45">
        <f>R205</f>
        <v>10</v>
      </c>
      <c r="AE199" s="51"/>
      <c r="AF199" s="4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24.95" customHeight="1">
      <c r="A200" s="712"/>
      <c r="B200" s="27"/>
      <c r="C200" s="52" t="str">
        <f>UPPER(LEFT(C197,1)) &amp; " . " &amp; UPPER(LEFT(C197,1)) &amp; LOWER(MID(C197,2,999)) &amp; " . " &amp; UPPER(LEFT(F197,1)) &amp; LOWER(MID(F197,2,999)) &amp; " . " &amp; UPPER(LEFT(I197,1)) &amp; LOWER(MID(I197,2,999)) &amp; " . " &amp; "Verre " &amp; UPPER(LEFT(F198,1)) &amp; LOWER(MID(F198,2,999)) &amp; IF(LEFT(L197,1)=UPPER(LEFT(L197,1)),".","") &amp; UPPER(LEFT(L197,1)) &amp; LOWER(MID(L197,2,999))&amp;"  couleur"&amp;" "&amp;C198&amp;"  intensité"&amp;" "&amp;C199</f>
        <v>N . Nom du cocktail n°6 . Avec ou sans alcool . Quand  . Verre Tumbler (old fashioned).Type de cocktail  couleur Couleur dominante à coller  intensité ****  précisez</v>
      </c>
      <c r="D200" s="52"/>
      <c r="E200" s="52"/>
      <c r="F200" s="52"/>
      <c r="G200" s="52"/>
      <c r="H200" s="52"/>
      <c r="I200" s="52"/>
      <c r="J200" s="52"/>
      <c r="K200" s="52"/>
      <c r="L200" s="30"/>
      <c r="M200" s="33"/>
      <c r="N200" s="3"/>
      <c r="O200" s="39" t="s">
        <v>336</v>
      </c>
      <c r="Q200" s="14" t="s">
        <v>105</v>
      </c>
      <c r="R200" s="49">
        <f>SUMIF(AJ207:AJ213,"VOLUME",AL207:AL213)</f>
        <v>0</v>
      </c>
      <c r="S200" s="50" t="s">
        <v>22</v>
      </c>
      <c r="T200" s="50"/>
      <c r="V200" s="44" t="s">
        <v>96</v>
      </c>
      <c r="W200" s="51">
        <f>I199</f>
        <v>15</v>
      </c>
      <c r="X200" s="46" t="str">
        <f>J199</f>
        <v>cl</v>
      </c>
      <c r="Y200" s="43"/>
      <c r="Z200" s="44" t="s">
        <v>82</v>
      </c>
      <c r="AA200" s="54" t="str">
        <f>F198</f>
        <v>Tumbler (Old Fashioned)</v>
      </c>
      <c r="AB200" s="43"/>
      <c r="AC200" s="44" t="s">
        <v>106</v>
      </c>
      <c r="AD200" s="45">
        <f>R207</f>
        <v>25</v>
      </c>
      <c r="AE200" s="46" t="s">
        <v>32</v>
      </c>
      <c r="AF200" s="4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24.95" customHeight="1">
      <c r="A201" s="712"/>
      <c r="B201" s="27" t="s">
        <v>110</v>
      </c>
      <c r="C201" s="55" t="s">
        <v>579</v>
      </c>
      <c r="D201" s="55"/>
      <c r="E201" s="154"/>
      <c r="F201" s="154"/>
      <c r="G201" s="154"/>
      <c r="H201" s="154"/>
      <c r="I201" s="154"/>
      <c r="J201" s="154"/>
      <c r="K201" s="154"/>
      <c r="L201" s="30"/>
      <c r="M201" s="33"/>
      <c r="N201" s="3"/>
      <c r="O201" s="39" t="s">
        <v>338</v>
      </c>
      <c r="Q201" s="14" t="s">
        <v>113</v>
      </c>
      <c r="R201" s="49" t="str">
        <f>IF(OR(R200=0,NOT(ISNUMBER(I198)),I198&lt;=0),"",R200/I198/10)</f>
        <v/>
      </c>
      <c r="S201" s="50" t="s">
        <v>32</v>
      </c>
      <c r="T201" s="50"/>
      <c r="V201" s="44" t="s">
        <v>114</v>
      </c>
      <c r="W201" s="51" t="str">
        <f>IF(I199="","",IF(R207="","⚠ À CONTRÔLER",IF(I199&lt;=R207,"✔ OK","❌ DÉPASSE CAPACITÉ")))</f>
        <v>✔ OK</v>
      </c>
      <c r="X201" s="43"/>
      <c r="Y201" s="43"/>
      <c r="Z201" s="44"/>
      <c r="AA201" s="56"/>
      <c r="AB201" s="43"/>
      <c r="AC201" s="43"/>
      <c r="AD201" s="46"/>
      <c r="AE201" s="46"/>
      <c r="AF201" s="4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24.95" customHeight="1">
      <c r="A202" s="712"/>
      <c r="B202" s="30"/>
      <c r="C202" s="30"/>
      <c r="D202" s="30"/>
      <c r="E202" s="30"/>
      <c r="F202" s="30"/>
      <c r="G202" s="30"/>
      <c r="H202" s="206"/>
      <c r="I202" s="30"/>
      <c r="J202" s="30"/>
      <c r="K202" s="30"/>
      <c r="L202" s="30"/>
      <c r="M202" s="33"/>
      <c r="N202" s="3"/>
      <c r="O202" s="39" t="s">
        <v>339</v>
      </c>
      <c r="Q202" s="14" t="s">
        <v>118</v>
      </c>
      <c r="R202" s="155" t="str">
        <f>IF(AN214=0,"",SUM(AQ207:AQ213)/AN214*100)</f>
        <v/>
      </c>
      <c r="S202" s="50" t="s">
        <v>88</v>
      </c>
      <c r="T202" s="50"/>
      <c r="V202" s="44" t="s">
        <v>110</v>
      </c>
      <c r="W202" s="46" t="str">
        <f>C201</f>
        <v>Description</v>
      </c>
      <c r="X202" s="43"/>
      <c r="Y202" s="43"/>
      <c r="Z202" s="44"/>
      <c r="AA202" s="56"/>
      <c r="AB202" s="43"/>
      <c r="AC202" s="43"/>
      <c r="AD202" s="46"/>
      <c r="AE202" s="46"/>
      <c r="AF202" s="4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24.95" customHeight="1">
      <c r="A203" s="712"/>
      <c r="B203" s="57" t="s">
        <v>121</v>
      </c>
      <c r="C203" s="58" t="s">
        <v>568</v>
      </c>
      <c r="D203" s="58"/>
      <c r="E203" s="59"/>
      <c r="F203" s="57" t="s">
        <v>123</v>
      </c>
      <c r="G203" s="58"/>
      <c r="H203" s="60"/>
      <c r="I203" s="60"/>
      <c r="J203" s="61"/>
      <c r="K203" s="61"/>
      <c r="L203" s="61"/>
      <c r="M203" s="62"/>
      <c r="N203" s="3"/>
      <c r="O203" s="39" t="s">
        <v>340</v>
      </c>
      <c r="Q203" s="14" t="s">
        <v>126</v>
      </c>
      <c r="R203" s="156">
        <f>SUM(AR207:AR213)</f>
        <v>0</v>
      </c>
      <c r="S203" s="50" t="s">
        <v>90</v>
      </c>
      <c r="T203" s="50"/>
      <c r="V203" s="44" t="s">
        <v>121</v>
      </c>
      <c r="W203" s="46" t="str">
        <f>C203</f>
        <v>VOUS</v>
      </c>
      <c r="X203" s="43"/>
      <c r="Y203" s="43"/>
      <c r="Z203" s="44" t="s">
        <v>94</v>
      </c>
      <c r="AA203" s="54" t="str">
        <f>C199</f>
        <v>****  précisez</v>
      </c>
      <c r="AB203" s="43"/>
      <c r="AC203" s="759" t="str">
        <f>UPPER(LEFT(C197,1))&amp;" . "&amp;UPPER(LEFT(C197,1))&amp;LOWER(MID(C197,2,999))&amp;" . "&amp;UPPER(LEFT(F197,1))&amp;LOWER(MID(F197,2,999))&amp;" . "&amp;UPPER(LEFT(I197,1))&amp;LOWER(MID(I197,2,999))&amp;" . "&amp;"Verre "&amp;UPPER(LEFT(F198,1))&amp;LOWER(MID(F198,2,999))&amp;IF(LEFT(L197,1)=UPPER(LEFT(L197,1)),".","")&amp;UPPER(LEFT(L197,1))&amp;LOWER(MID(L197,2,999))&amp;"  couleur "&amp;C198&amp;"  intensité "&amp;C199</f>
        <v>N . Nom du cocktail n°6 . Avec ou sans alcool . Quand  . Verre Tumbler (old fashioned).Type de cocktail  couleur Couleur dominante à coller  intensité ****  précisez</v>
      </c>
      <c r="AD203" s="759"/>
      <c r="AE203" s="759"/>
      <c r="AF203" s="759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24.95" customHeight="1">
      <c r="A204" s="712"/>
      <c r="B204" s="10" t="s">
        <v>131</v>
      </c>
      <c r="C204" s="10" t="s">
        <v>132</v>
      </c>
      <c r="D204" s="10"/>
      <c r="E204" s="10"/>
      <c r="F204" s="10"/>
      <c r="G204" s="10"/>
      <c r="H204" s="10"/>
      <c r="I204" s="10"/>
      <c r="J204" s="11" t="str">
        <f>IF(COUNTIF(C206:C212,"*~**")+COUNTIF(C206:C212,"*~?*")=0,"",IF(COUNTIF(C206:C212,"*~**")&gt;0,COUNTIF(C206:C212,"*~**")&amp;" allergène"&amp;IF(COUNTIF(C206:C212,"*~**")&gt;1,"s","")&amp;" repéré"&amp;IF(COUNTIF(C206:C212,"*~**")&gt;1,"s","")&amp;" par *","")&amp;IF(AND(COUNTIF(C206:C212,"*~**")&gt;0,COUNTIF(C206:C212,"*~?*")&gt;0)," | ","")&amp;IF(COUNTIF(C206:C212,"*~?*")&gt;0,COUNTIF(C206:C212,"*~?*")&amp;" produit"&amp;IF(COUNTIF(C206:C212,"*~?*")&gt;1,"s","")&amp;" à vérifier par ?",""))</f>
        <v/>
      </c>
      <c r="K204" s="10"/>
      <c r="L204" s="10"/>
      <c r="M204" s="63"/>
      <c r="N204" s="3"/>
      <c r="O204" s="39" t="s">
        <v>175</v>
      </c>
      <c r="Q204" s="14" t="s">
        <v>134</v>
      </c>
      <c r="R204" s="156">
        <f>IF(OR(R203="",R205="",R205=0),"",R203/R205)</f>
        <v>0</v>
      </c>
      <c r="S204" s="50" t="s">
        <v>135</v>
      </c>
      <c r="T204" s="50"/>
      <c r="V204" s="852" t="s">
        <v>136</v>
      </c>
      <c r="W204" s="853">
        <f>R203</f>
        <v>0</v>
      </c>
      <c r="X204" s="854" t="s">
        <v>90</v>
      </c>
      <c r="Y204" s="43"/>
      <c r="Z204" s="44" t="s">
        <v>137</v>
      </c>
      <c r="AA204" s="54" t="str">
        <f>C197</f>
        <v>NOM DU COCKTAIL N°6</v>
      </c>
      <c r="AB204" s="43"/>
      <c r="AC204" s="759"/>
      <c r="AD204" s="759"/>
      <c r="AE204" s="759"/>
      <c r="AF204" s="759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24.95" customHeight="1">
      <c r="A205" s="712"/>
      <c r="B205" s="66">
        <v>0</v>
      </c>
      <c r="C205" s="64" t="s">
        <v>141</v>
      </c>
      <c r="D205" s="65" t="s">
        <v>142</v>
      </c>
      <c r="E205" s="64" t="s">
        <v>9</v>
      </c>
      <c r="F205" s="66" t="s">
        <v>143</v>
      </c>
      <c r="G205" s="66" t="s">
        <v>144</v>
      </c>
      <c r="H205" s="66" t="s">
        <v>145</v>
      </c>
      <c r="I205" s="67" t="s">
        <v>146</v>
      </c>
      <c r="J205" s="67" t="s">
        <v>847</v>
      </c>
      <c r="K205" s="67" t="s">
        <v>148</v>
      </c>
      <c r="L205" s="67" t="s">
        <v>149</v>
      </c>
      <c r="M205" s="68" t="s">
        <v>150</v>
      </c>
      <c r="N205" s="3"/>
      <c r="O205" s="39" t="s">
        <v>341</v>
      </c>
      <c r="Q205" s="14" t="s">
        <v>152</v>
      </c>
      <c r="R205" s="49">
        <f>IF(AND(ISNUMBER(R198),R198&gt;0,ISNUMBER(I199),I199&gt;0),R198*1000/(I199*10),IF(AND(ISNUMBER(R197),R197&gt;0),R197,""))</f>
        <v>10</v>
      </c>
      <c r="S205" s="50" t="s">
        <v>76</v>
      </c>
      <c r="T205" s="50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H205" s="25" t="s">
        <v>153</v>
      </c>
      <c r="AI205" s="25"/>
      <c r="AJ205" s="25" t="s">
        <v>490</v>
      </c>
      <c r="AK205" s="25"/>
      <c r="AL205" s="25"/>
      <c r="AM205" s="25"/>
      <c r="AN205" s="26"/>
      <c r="AO205" s="26"/>
      <c r="AP205" s="26"/>
      <c r="AQ205" s="26"/>
      <c r="AR205" s="26"/>
      <c r="AS205" s="26"/>
    </row>
    <row r="206" spans="1:45" ht="24.95" customHeight="1">
      <c r="A206" s="712"/>
      <c r="B206" s="158">
        <v>1</v>
      </c>
      <c r="C206" s="70"/>
      <c r="D206" s="79"/>
      <c r="E206" s="3"/>
      <c r="F206" s="72"/>
      <c r="G206" s="159"/>
      <c r="H206" s="160"/>
      <c r="I206" s="161"/>
      <c r="J206" s="73" t="s">
        <v>849</v>
      </c>
      <c r="K206" s="73"/>
      <c r="L206" s="73"/>
      <c r="M206" s="74"/>
      <c r="N206" s="3"/>
      <c r="O206" s="39" t="s">
        <v>344</v>
      </c>
      <c r="Q206" s="14" t="s">
        <v>158</v>
      </c>
      <c r="R206" s="75" t="str">
        <f>IF(AND(ISNUMBER(R198),R198&gt;0),"VOLUME TOTAL",IF(AND(ISNUMBER(R197),R197&gt;0),"NOMBRE DE COCKTAILS","RÉFÉRENCE"))</f>
        <v>NOMBRE DE COCKTAILS</v>
      </c>
      <c r="S206" s="50"/>
      <c r="T206" s="50"/>
      <c r="V206" s="831" t="s">
        <v>159</v>
      </c>
      <c r="W206" s="36" t="s">
        <v>160</v>
      </c>
      <c r="X206" s="76" t="s">
        <v>161</v>
      </c>
      <c r="Y206" s="835" t="s">
        <v>162</v>
      </c>
      <c r="Z206" s="838" t="s">
        <v>163</v>
      </c>
      <c r="AA206" s="36" t="s">
        <v>164</v>
      </c>
      <c r="AB206" s="36" t="s">
        <v>9</v>
      </c>
      <c r="AC206" s="841" t="s">
        <v>165</v>
      </c>
      <c r="AD206" s="296" t="s">
        <v>166</v>
      </c>
      <c r="AE206" s="36" t="s">
        <v>146</v>
      </c>
      <c r="AF206" s="833" t="s">
        <v>167</v>
      </c>
      <c r="AH206" s="77" t="s">
        <v>168</v>
      </c>
      <c r="AI206" s="78" t="s">
        <v>159</v>
      </c>
      <c r="AJ206" s="77" t="s">
        <v>10</v>
      </c>
      <c r="AK206" s="77" t="s">
        <v>169</v>
      </c>
      <c r="AL206" s="77" t="s">
        <v>170</v>
      </c>
      <c r="AM206" s="77" t="s">
        <v>91</v>
      </c>
      <c r="AN206" s="78" t="s">
        <v>161</v>
      </c>
      <c r="AO206" s="77" t="s">
        <v>171</v>
      </c>
      <c r="AP206" s="77" t="s">
        <v>172</v>
      </c>
      <c r="AQ206" s="77" t="s">
        <v>165</v>
      </c>
      <c r="AR206" s="77" t="s">
        <v>167</v>
      </c>
      <c r="AS206" s="77" t="s">
        <v>173</v>
      </c>
    </row>
    <row r="207" spans="1:45" ht="24.95" customHeight="1">
      <c r="A207" s="712"/>
      <c r="B207" s="162">
        <v>2</v>
      </c>
      <c r="C207" s="70"/>
      <c r="D207" s="79"/>
      <c r="E207" s="3"/>
      <c r="F207" s="72"/>
      <c r="G207" s="159"/>
      <c r="H207" s="160"/>
      <c r="I207" s="161"/>
      <c r="J207" s="73" t="s">
        <v>6989</v>
      </c>
      <c r="K207" s="73"/>
      <c r="L207" s="73"/>
      <c r="M207" s="74"/>
      <c r="N207" s="3"/>
      <c r="O207" s="39" t="s">
        <v>179</v>
      </c>
      <c r="Q207" s="14" t="s">
        <v>35</v>
      </c>
      <c r="R207" s="35">
        <f>IFERROR(VLOOKUP(F198,$BB$5:$BC$40,2,FALSE),"")</f>
        <v>25</v>
      </c>
      <c r="S207" s="50" t="s">
        <v>32</v>
      </c>
      <c r="T207" s="50"/>
      <c r="V207" s="846" t="str">
        <f t="shared" ref="V207:V213" si="110">IF(AI207="","",AI207)</f>
        <v/>
      </c>
      <c r="W207" s="848" t="str">
        <f t="shared" ref="W207:W213" si="111">IF(C206="","",IF(H206="QS","QS",D206&amp;" "&amp;E206))</f>
        <v/>
      </c>
      <c r="X207" s="81" t="str">
        <f t="shared" ref="X207:X213" si="112">IF(AN207="","",AN207)</f>
        <v/>
      </c>
      <c r="Y207" s="836" t="str">
        <f t="shared" ref="Y207:Y213" si="113">IF(C206="","",IF(H206="QS","Qt. suffisante",IF(AN207="","",IF(AJ207="VOLUME",IF(AN207&gt;=1000,TEXT(AO207,"0.00")&amp;" "&amp;AP207,IF(AN207&gt;=10,TEXT(AO207,"0.0")&amp;" "&amp;AP207&amp;" ► "&amp;TEXT(AN207/1000,"0.000")&amp;" L",TEXT(AO207,"0.0")&amp;" "&amp;AP207)),IF(AJ207="MASSE",TEXT(AO207,"0.00")&amp;" "&amp;AP207,AO207&amp;" "&amp;AP207)))))</f>
        <v/>
      </c>
      <c r="Z207" s="839" t="str">
        <f>IF(OR(C206="",AJ207&lt;&gt;"VOLUME",AN214=0),"","≈ "&amp;TEXT(ROUND(AN207/AN214*10*2,0)/2,"0.0")&amp;"/10")</f>
        <v/>
      </c>
      <c r="AA207" s="82" t="str">
        <f t="shared" ref="AA207:AA213" si="114">IF(AJ207="AUTRE",AO207,"")</f>
        <v/>
      </c>
      <c r="AB207" s="83" t="str">
        <f t="shared" ref="AB207:AB213" si="115">IF(C206="","",AP207)</f>
        <v/>
      </c>
      <c r="AC207" s="842" t="str">
        <f t="shared" ref="AC207:AC213" si="116">IF(C206="","",AQ207)</f>
        <v/>
      </c>
      <c r="AD207" s="163" t="str">
        <f t="shared" ref="AD207:AD213" si="117">IF(C206="","",IF(ISNUMBER(F206),F206,0))</f>
        <v/>
      </c>
      <c r="AE207" s="164" t="str">
        <f t="shared" ref="AE207:AE213" si="118">IF(C206="","",IF(ISNUMBER(I206),I206,""))</f>
        <v/>
      </c>
      <c r="AF207" s="855" t="str">
        <f t="shared" ref="AF207:AF213" si="119">IF(C206="","",AR207)</f>
        <v/>
      </c>
      <c r="AH207" s="84" t="str">
        <f t="shared" ref="AH207:AH213" si="120">IF(C206="","",B206)</f>
        <v/>
      </c>
      <c r="AI207" s="85" t="str">
        <f t="shared" ref="AI207:AI213" si="121">IF(C206="","",C206)</f>
        <v/>
      </c>
      <c r="AJ207" s="84" t="str">
        <f t="shared" ref="AJ207:AJ213" si="122">IF(C206="","",IFERROR(VLOOKUP(E206,$AU$5:$AY$121,2,FALSE),"UNITÉ ?"))</f>
        <v/>
      </c>
      <c r="AK207" s="84" t="str">
        <f t="shared" ref="AK207:AK213" si="123">IF(C206="","",IFERROR(VLOOKUP(E206,$AU$5:$AY$121,3,FALSE),""))</f>
        <v/>
      </c>
      <c r="AL207" s="84" t="str">
        <f t="shared" ref="AL207:AL213" si="124">IF(OR(C206="",H206="QS",NOT(ISNUMBER(D206))),"",D206*AK207)</f>
        <v/>
      </c>
      <c r="AM207" s="84" t="str">
        <f>IF(C206="","",R199)</f>
        <v/>
      </c>
      <c r="AN207" s="84" t="str">
        <f t="shared" ref="AN207:AN213" si="125">IF(C206="","",IF(H206="QS","",IF(AL207="","",IF(OR(H206="F",H206="FIXE"),AL207,AL207*AM207))))</f>
        <v/>
      </c>
      <c r="AO207" s="84" t="str">
        <f t="shared" ref="AO207:AO213" si="126">IF(C206="","",IF(H206="QS","",IF(AN207="","",IF(AJ207="VOLUME",IF(AN207&gt;=1000,ROUND(AN207/1000,2),IF(AN207&gt;=10,ROUND(AN207/10,1),ROUND(AN207,1))),IF(AJ207="MASSE",IF(AN207&gt;=1000,ROUND(AN207/1000,2),ROUND(AN207,0)),ROUND(AN207,2))))))</f>
        <v/>
      </c>
      <c r="AP207" s="84" t="str">
        <f t="shared" ref="AP207:AP213" si="127">IF(C206="","",IF(H206="QS","",IF(AN207="","",IF(AJ207="VOLUME",IF(AN207&gt;=1000,"L",IF(AN207&gt;=10,"cl","ml")),IF(AJ207="MASSE",IF(AN207&gt;=1000,"Kg","g"),IFERROR(VLOOKUP(E206,$AU$5:$AY$121,5,FALSE),E206))))))</f>
        <v/>
      </c>
      <c r="AQ207" s="84" t="str">
        <f t="shared" ref="AQ207:AQ213" si="128">IF(C206="","",IF(OR(AJ207&lt;&gt;"VOLUME",NOT(ISNUMBER(F206)),AN207=""),0,AN207*F206/100))</f>
        <v/>
      </c>
      <c r="AR207" s="84" t="str">
        <f t="shared" ref="AR207:AR213" si="129">IF(C206="","",IF(H206="QS",0,IF(NOT(ISNUMBER(I206)),0,IF(OR(AJ207="VOLUME",AJ207="MASSE"),AN207/1000*I206,AN207*I206))))</f>
        <v/>
      </c>
      <c r="AS207" s="84" t="str">
        <f t="shared" ref="AS207:AS213" si="130">IF(C206="","",IF(H206="QS","OK",IF(NOT(ISNUMBER(D206)),"QUANTITÉ ?",IF(E206="","UNITÉ ?",IF(AJ207="UNITÉ ?","UNITÉ ?",IF(AND(H206&lt;&gt;"",H206&lt;&gt;"PROP",H206&lt;&gt;"F",H206&lt;&gt;"FIXE",H206&lt;&gt;"QS"),"RÈGLE ?","OK"))))))</f>
        <v/>
      </c>
    </row>
    <row r="208" spans="1:45" ht="24.95" customHeight="1">
      <c r="A208" s="712"/>
      <c r="B208" s="158">
        <v>3</v>
      </c>
      <c r="C208" s="70"/>
      <c r="D208" s="79"/>
      <c r="E208" s="3"/>
      <c r="F208" s="72"/>
      <c r="G208" s="159"/>
      <c r="H208" s="160"/>
      <c r="I208" s="161"/>
      <c r="J208" s="73" t="s">
        <v>6990</v>
      </c>
      <c r="K208" s="73"/>
      <c r="L208" s="73"/>
      <c r="M208" s="74"/>
      <c r="N208" s="3"/>
      <c r="O208" s="39" t="s">
        <v>349</v>
      </c>
      <c r="V208" s="846" t="str">
        <f t="shared" si="110"/>
        <v/>
      </c>
      <c r="W208" s="848" t="str">
        <f t="shared" si="111"/>
        <v/>
      </c>
      <c r="X208" s="81" t="str">
        <f t="shared" si="112"/>
        <v/>
      </c>
      <c r="Y208" s="836" t="str">
        <f t="shared" si="113"/>
        <v/>
      </c>
      <c r="Z208" s="839" t="str">
        <f>IF(OR(C207="",AJ208&lt;&gt;"VOLUME",AN214=0),"","≈ "&amp;TEXT(ROUND(AN208/AN214*10*2,0)/2,"0.0")&amp;"/10")</f>
        <v/>
      </c>
      <c r="AA208" s="82" t="str">
        <f t="shared" si="114"/>
        <v/>
      </c>
      <c r="AB208" s="83" t="str">
        <f t="shared" si="115"/>
        <v/>
      </c>
      <c r="AC208" s="842" t="str">
        <f t="shared" si="116"/>
        <v/>
      </c>
      <c r="AD208" s="163" t="str">
        <f t="shared" si="117"/>
        <v/>
      </c>
      <c r="AE208" s="164" t="str">
        <f t="shared" si="118"/>
        <v/>
      </c>
      <c r="AF208" s="855" t="str">
        <f t="shared" si="119"/>
        <v/>
      </c>
      <c r="AH208" s="84" t="str">
        <f t="shared" si="120"/>
        <v/>
      </c>
      <c r="AI208" s="85" t="str">
        <f t="shared" si="121"/>
        <v/>
      </c>
      <c r="AJ208" s="84" t="str">
        <f t="shared" si="122"/>
        <v/>
      </c>
      <c r="AK208" s="84" t="str">
        <f t="shared" si="123"/>
        <v/>
      </c>
      <c r="AL208" s="84" t="str">
        <f t="shared" si="124"/>
        <v/>
      </c>
      <c r="AM208" s="84" t="str">
        <f>IF(C207="","",R199)</f>
        <v/>
      </c>
      <c r="AN208" s="84" t="str">
        <f t="shared" si="125"/>
        <v/>
      </c>
      <c r="AO208" s="84" t="str">
        <f t="shared" si="126"/>
        <v/>
      </c>
      <c r="AP208" s="84" t="str">
        <f t="shared" si="127"/>
        <v/>
      </c>
      <c r="AQ208" s="84" t="str">
        <f t="shared" si="128"/>
        <v/>
      </c>
      <c r="AR208" s="84" t="str">
        <f t="shared" si="129"/>
        <v/>
      </c>
      <c r="AS208" s="84" t="str">
        <f t="shared" si="130"/>
        <v/>
      </c>
    </row>
    <row r="209" spans="1:45" ht="24.95" customHeight="1">
      <c r="A209" s="712"/>
      <c r="B209" s="162">
        <v>4</v>
      </c>
      <c r="C209" s="70"/>
      <c r="D209" s="79"/>
      <c r="E209" s="3"/>
      <c r="F209" s="72"/>
      <c r="G209" s="159"/>
      <c r="H209" s="160"/>
      <c r="I209" s="161"/>
      <c r="J209" s="73" t="s">
        <v>6991</v>
      </c>
      <c r="K209" s="73"/>
      <c r="L209" s="73"/>
      <c r="M209" s="74"/>
      <c r="N209" s="3"/>
      <c r="O209" s="39" t="s">
        <v>342</v>
      </c>
      <c r="Q209" s="744" t="s">
        <v>566</v>
      </c>
      <c r="V209" s="846" t="str">
        <f t="shared" si="110"/>
        <v/>
      </c>
      <c r="W209" s="848" t="str">
        <f t="shared" si="111"/>
        <v/>
      </c>
      <c r="X209" s="81" t="str">
        <f t="shared" si="112"/>
        <v/>
      </c>
      <c r="Y209" s="836" t="str">
        <f t="shared" si="113"/>
        <v/>
      </c>
      <c r="Z209" s="839" t="str">
        <f>IF(OR(C208="",AJ209&lt;&gt;"VOLUME",AN214=0),"","≈ "&amp;TEXT(ROUND(AN209/AN214*10*2,0)/2,"0.0")&amp;"/10")</f>
        <v/>
      </c>
      <c r="AA209" s="82" t="str">
        <f t="shared" si="114"/>
        <v/>
      </c>
      <c r="AB209" s="83" t="str">
        <f t="shared" si="115"/>
        <v/>
      </c>
      <c r="AC209" s="842" t="str">
        <f t="shared" si="116"/>
        <v/>
      </c>
      <c r="AD209" s="163" t="str">
        <f t="shared" si="117"/>
        <v/>
      </c>
      <c r="AE209" s="164" t="str">
        <f t="shared" si="118"/>
        <v/>
      </c>
      <c r="AF209" s="855" t="str">
        <f t="shared" si="119"/>
        <v/>
      </c>
      <c r="AH209" s="84" t="str">
        <f t="shared" si="120"/>
        <v/>
      </c>
      <c r="AI209" s="85" t="str">
        <f t="shared" si="121"/>
        <v/>
      </c>
      <c r="AJ209" s="84" t="str">
        <f t="shared" si="122"/>
        <v/>
      </c>
      <c r="AK209" s="84" t="str">
        <f t="shared" si="123"/>
        <v/>
      </c>
      <c r="AL209" s="84" t="str">
        <f t="shared" si="124"/>
        <v/>
      </c>
      <c r="AM209" s="84" t="str">
        <f>IF(C208="","",R199)</f>
        <v/>
      </c>
      <c r="AN209" s="84" t="str">
        <f t="shared" si="125"/>
        <v/>
      </c>
      <c r="AO209" s="84" t="str">
        <f t="shared" si="126"/>
        <v/>
      </c>
      <c r="AP209" s="84" t="str">
        <f t="shared" si="127"/>
        <v/>
      </c>
      <c r="AQ209" s="84" t="str">
        <f t="shared" si="128"/>
        <v/>
      </c>
      <c r="AR209" s="84" t="str">
        <f t="shared" si="129"/>
        <v/>
      </c>
      <c r="AS209" s="84" t="str">
        <f t="shared" si="130"/>
        <v/>
      </c>
    </row>
    <row r="210" spans="1:45" ht="24.95" customHeight="1">
      <c r="A210" s="712"/>
      <c r="B210" s="158">
        <v>5</v>
      </c>
      <c r="C210" s="70"/>
      <c r="D210" s="79"/>
      <c r="E210" s="3"/>
      <c r="F210" s="72"/>
      <c r="G210" s="159"/>
      <c r="H210" s="160"/>
      <c r="I210" s="161"/>
      <c r="J210" s="73" t="s">
        <v>6992</v>
      </c>
      <c r="K210" s="73"/>
      <c r="L210" s="73"/>
      <c r="M210" s="74"/>
      <c r="N210" s="3"/>
      <c r="O210" s="39" t="s">
        <v>265</v>
      </c>
      <c r="Q210" s="744"/>
      <c r="V210" s="846" t="str">
        <f t="shared" si="110"/>
        <v/>
      </c>
      <c r="W210" s="848" t="str">
        <f t="shared" si="111"/>
        <v/>
      </c>
      <c r="X210" s="81" t="str">
        <f t="shared" si="112"/>
        <v/>
      </c>
      <c r="Y210" s="836" t="str">
        <f t="shared" si="113"/>
        <v/>
      </c>
      <c r="Z210" s="839" t="str">
        <f>IF(OR(C209="",AJ210&lt;&gt;"VOLUME",AN214=0),"","≈ "&amp;TEXT(ROUND(AN210/AN214*10*2,0)/2,"0.0")&amp;"/10")</f>
        <v/>
      </c>
      <c r="AA210" s="82" t="str">
        <f t="shared" si="114"/>
        <v/>
      </c>
      <c r="AB210" s="83" t="str">
        <f t="shared" si="115"/>
        <v/>
      </c>
      <c r="AC210" s="842" t="str">
        <f t="shared" si="116"/>
        <v/>
      </c>
      <c r="AD210" s="163" t="str">
        <f t="shared" si="117"/>
        <v/>
      </c>
      <c r="AE210" s="164" t="str">
        <f t="shared" si="118"/>
        <v/>
      </c>
      <c r="AF210" s="855" t="str">
        <f t="shared" si="119"/>
        <v/>
      </c>
      <c r="AH210" s="84" t="str">
        <f t="shared" si="120"/>
        <v/>
      </c>
      <c r="AI210" s="85" t="str">
        <f t="shared" si="121"/>
        <v/>
      </c>
      <c r="AJ210" s="84" t="str">
        <f t="shared" si="122"/>
        <v/>
      </c>
      <c r="AK210" s="84" t="str">
        <f t="shared" si="123"/>
        <v/>
      </c>
      <c r="AL210" s="84" t="str">
        <f t="shared" si="124"/>
        <v/>
      </c>
      <c r="AM210" s="84" t="str">
        <f>IF(C209="","",R199)</f>
        <v/>
      </c>
      <c r="AN210" s="84" t="str">
        <f t="shared" si="125"/>
        <v/>
      </c>
      <c r="AO210" s="84" t="str">
        <f t="shared" si="126"/>
        <v/>
      </c>
      <c r="AP210" s="84" t="str">
        <f t="shared" si="127"/>
        <v/>
      </c>
      <c r="AQ210" s="84" t="str">
        <f t="shared" si="128"/>
        <v/>
      </c>
      <c r="AR210" s="84" t="str">
        <f t="shared" si="129"/>
        <v/>
      </c>
      <c r="AS210" s="84" t="str">
        <f t="shared" si="130"/>
        <v/>
      </c>
    </row>
    <row r="211" spans="1:45" ht="24.95" customHeight="1">
      <c r="A211" s="712"/>
      <c r="B211" s="162"/>
      <c r="C211" s="70"/>
      <c r="D211" s="79"/>
      <c r="E211" s="3"/>
      <c r="F211" s="72"/>
      <c r="G211" s="159"/>
      <c r="H211" s="160"/>
      <c r="I211" s="161"/>
      <c r="J211" s="73" t="s">
        <v>243</v>
      </c>
      <c r="K211" s="73"/>
      <c r="L211" s="73"/>
      <c r="M211" s="74"/>
      <c r="N211" s="3"/>
      <c r="O211" s="39" t="s">
        <v>183</v>
      </c>
      <c r="V211" s="846" t="str">
        <f t="shared" si="110"/>
        <v/>
      </c>
      <c r="W211" s="848" t="str">
        <f t="shared" si="111"/>
        <v/>
      </c>
      <c r="X211" s="81" t="str">
        <f t="shared" si="112"/>
        <v/>
      </c>
      <c r="Y211" s="836" t="str">
        <f t="shared" si="113"/>
        <v/>
      </c>
      <c r="Z211" s="839" t="str">
        <f>IF(OR(C210="",AJ211&lt;&gt;"VOLUME",AN214=0),"","≈ "&amp;TEXT(ROUND(AN211/AN214*10*2,0)/2,"0.0")&amp;"/10")</f>
        <v/>
      </c>
      <c r="AA211" s="80" t="str">
        <f t="shared" si="114"/>
        <v/>
      </c>
      <c r="AB211" s="83" t="str">
        <f t="shared" si="115"/>
        <v/>
      </c>
      <c r="AC211" s="842" t="str">
        <f t="shared" si="116"/>
        <v/>
      </c>
      <c r="AD211" s="163" t="str">
        <f t="shared" si="117"/>
        <v/>
      </c>
      <c r="AE211" s="164" t="str">
        <f t="shared" si="118"/>
        <v/>
      </c>
      <c r="AF211" s="855" t="str">
        <f t="shared" si="119"/>
        <v/>
      </c>
      <c r="AH211" s="84" t="str">
        <f t="shared" si="120"/>
        <v/>
      </c>
      <c r="AI211" s="85" t="str">
        <f t="shared" si="121"/>
        <v/>
      </c>
      <c r="AJ211" s="84" t="str">
        <f t="shared" si="122"/>
        <v/>
      </c>
      <c r="AK211" s="84" t="str">
        <f t="shared" si="123"/>
        <v/>
      </c>
      <c r="AL211" s="84" t="str">
        <f t="shared" si="124"/>
        <v/>
      </c>
      <c r="AM211" s="84" t="str">
        <f>IF(C210="","",R199)</f>
        <v/>
      </c>
      <c r="AN211" s="84" t="str">
        <f t="shared" si="125"/>
        <v/>
      </c>
      <c r="AO211" s="84" t="str">
        <f t="shared" si="126"/>
        <v/>
      </c>
      <c r="AP211" s="84" t="str">
        <f t="shared" si="127"/>
        <v/>
      </c>
      <c r="AQ211" s="84" t="str">
        <f t="shared" si="128"/>
        <v/>
      </c>
      <c r="AR211" s="84" t="str">
        <f t="shared" si="129"/>
        <v/>
      </c>
      <c r="AS211" s="84" t="str">
        <f t="shared" si="130"/>
        <v/>
      </c>
    </row>
    <row r="212" spans="1:45" ht="24.95" customHeight="1">
      <c r="A212" s="712"/>
      <c r="B212" s="158"/>
      <c r="C212" s="70"/>
      <c r="D212" s="79"/>
      <c r="E212" s="3"/>
      <c r="F212" s="72"/>
      <c r="G212" s="159"/>
      <c r="H212" s="160"/>
      <c r="I212" s="161"/>
      <c r="J212" s="73" t="s">
        <v>6995</v>
      </c>
      <c r="K212" s="73"/>
      <c r="L212" s="73"/>
      <c r="M212" s="74"/>
      <c r="N212" s="3"/>
      <c r="O212" s="39" t="s">
        <v>187</v>
      </c>
      <c r="Q212" s="355" t="s">
        <v>558</v>
      </c>
      <c r="V212" s="847" t="str">
        <f t="shared" si="110"/>
        <v/>
      </c>
      <c r="W212" s="849" t="str">
        <f t="shared" si="111"/>
        <v/>
      </c>
      <c r="X212" s="86" t="str">
        <f t="shared" si="112"/>
        <v/>
      </c>
      <c r="Y212" s="837" t="str">
        <f t="shared" si="113"/>
        <v/>
      </c>
      <c r="Z212" s="840" t="str">
        <f>IF(OR(C211="",AJ212&lt;&gt;"VOLUME",AN214=0),"","≈ "&amp;TEXT(ROUND(AN212/AN214*10*2,0)/2,"0.0")&amp;"/10")</f>
        <v/>
      </c>
      <c r="AA212" s="87" t="str">
        <f t="shared" si="114"/>
        <v/>
      </c>
      <c r="AB212" s="88" t="str">
        <f t="shared" si="115"/>
        <v/>
      </c>
      <c r="AC212" s="843" t="str">
        <f t="shared" si="116"/>
        <v/>
      </c>
      <c r="AD212" s="88" t="str">
        <f t="shared" si="117"/>
        <v/>
      </c>
      <c r="AE212" s="88" t="str">
        <f t="shared" si="118"/>
        <v/>
      </c>
      <c r="AF212" s="834" t="str">
        <f t="shared" si="119"/>
        <v/>
      </c>
      <c r="AH212" s="84" t="str">
        <f t="shared" si="120"/>
        <v/>
      </c>
      <c r="AI212" s="85" t="str">
        <f t="shared" si="121"/>
        <v/>
      </c>
      <c r="AJ212" s="84" t="str">
        <f t="shared" si="122"/>
        <v/>
      </c>
      <c r="AK212" s="84" t="str">
        <f t="shared" si="123"/>
        <v/>
      </c>
      <c r="AL212" s="84" t="str">
        <f t="shared" si="124"/>
        <v/>
      </c>
      <c r="AM212" s="84" t="str">
        <f>IF(C211="","",R199)</f>
        <v/>
      </c>
      <c r="AN212" s="84" t="str">
        <f t="shared" si="125"/>
        <v/>
      </c>
      <c r="AO212" s="84" t="str">
        <f t="shared" si="126"/>
        <v/>
      </c>
      <c r="AP212" s="84" t="str">
        <f t="shared" si="127"/>
        <v/>
      </c>
      <c r="AQ212" s="84" t="str">
        <f t="shared" si="128"/>
        <v/>
      </c>
      <c r="AR212" s="84" t="str">
        <f t="shared" si="129"/>
        <v/>
      </c>
      <c r="AS212" s="84" t="str">
        <f t="shared" si="130"/>
        <v/>
      </c>
    </row>
    <row r="213" spans="1:45" ht="24.95" customHeight="1">
      <c r="A213" s="712"/>
      <c r="B213" s="14" t="s">
        <v>44</v>
      </c>
      <c r="C213" s="146" t="s">
        <v>198</v>
      </c>
      <c r="D213" s="89"/>
      <c r="E213" s="89"/>
      <c r="F213" s="89"/>
      <c r="G213" s="89"/>
      <c r="H213" s="89"/>
      <c r="I213" s="89"/>
      <c r="J213" s="89" t="s">
        <v>6996</v>
      </c>
      <c r="K213" s="89"/>
      <c r="L213" s="89"/>
      <c r="M213" s="90"/>
      <c r="N213" s="3"/>
      <c r="O213" s="39" t="s">
        <v>345</v>
      </c>
      <c r="Q213"/>
      <c r="V213" s="847" t="str">
        <f t="shared" si="110"/>
        <v/>
      </c>
      <c r="W213" s="849" t="str">
        <f t="shared" si="111"/>
        <v/>
      </c>
      <c r="X213" s="86" t="str">
        <f t="shared" si="112"/>
        <v/>
      </c>
      <c r="Y213" s="837" t="str">
        <f t="shared" si="113"/>
        <v/>
      </c>
      <c r="Z213" s="840" t="str">
        <f>IF(OR(C212="",AJ213&lt;&gt;"VOLUME",AN214=0),"","≈ "&amp;TEXT(ROUND(AN213/AN214*10*2,0)/2,"0.0")&amp;"/10")</f>
        <v/>
      </c>
      <c r="AA213" s="87" t="str">
        <f t="shared" si="114"/>
        <v/>
      </c>
      <c r="AB213" s="88" t="str">
        <f t="shared" si="115"/>
        <v/>
      </c>
      <c r="AC213" s="843" t="str">
        <f t="shared" si="116"/>
        <v/>
      </c>
      <c r="AD213" s="88" t="str">
        <f t="shared" si="117"/>
        <v/>
      </c>
      <c r="AE213" s="88" t="str">
        <f t="shared" si="118"/>
        <v/>
      </c>
      <c r="AF213" s="834" t="str">
        <f t="shared" si="119"/>
        <v/>
      </c>
      <c r="AH213" s="84" t="str">
        <f t="shared" si="120"/>
        <v/>
      </c>
      <c r="AI213" s="85" t="str">
        <f t="shared" si="121"/>
        <v/>
      </c>
      <c r="AJ213" s="84" t="str">
        <f t="shared" si="122"/>
        <v/>
      </c>
      <c r="AK213" s="84" t="str">
        <f t="shared" si="123"/>
        <v/>
      </c>
      <c r="AL213" s="84" t="str">
        <f t="shared" si="124"/>
        <v/>
      </c>
      <c r="AM213" s="84" t="str">
        <f>IF(C212="","",R199)</f>
        <v/>
      </c>
      <c r="AN213" s="84" t="str">
        <f t="shared" si="125"/>
        <v/>
      </c>
      <c r="AO213" s="84" t="str">
        <f t="shared" si="126"/>
        <v/>
      </c>
      <c r="AP213" s="84" t="str">
        <f t="shared" si="127"/>
        <v/>
      </c>
      <c r="AQ213" s="84" t="str">
        <f t="shared" si="128"/>
        <v/>
      </c>
      <c r="AR213" s="84" t="str">
        <f t="shared" si="129"/>
        <v/>
      </c>
      <c r="AS213" s="84" t="str">
        <f t="shared" si="130"/>
        <v/>
      </c>
    </row>
    <row r="214" spans="1:45" ht="24.95" customHeight="1">
      <c r="A214" s="712"/>
      <c r="B214" s="91">
        <v>0</v>
      </c>
      <c r="C214" s="10" t="s">
        <v>491</v>
      </c>
      <c r="D214" s="11"/>
      <c r="E214" s="11"/>
      <c r="F214" s="11"/>
      <c r="G214" s="11"/>
      <c r="H214" s="11"/>
      <c r="I214" s="11"/>
      <c r="J214" s="11"/>
      <c r="K214" s="11"/>
      <c r="L214" s="11"/>
      <c r="M214" s="92"/>
      <c r="N214" s="3"/>
      <c r="O214" s="39" t="s">
        <v>347</v>
      </c>
      <c r="Q214" s="29" t="s">
        <v>70</v>
      </c>
      <c r="V214" s="851" t="s">
        <v>203</v>
      </c>
      <c r="W214" s="93"/>
      <c r="X214" s="845">
        <f>AN214</f>
        <v>0</v>
      </c>
      <c r="Y214" s="835" t="str">
        <f>IF(AN214=0,"",TEXT(AN214/1000,"0.000")&amp;" L")</f>
        <v/>
      </c>
      <c r="Z214" s="857"/>
      <c r="AA214" s="93"/>
      <c r="AB214" s="93"/>
      <c r="AC214" s="832">
        <f>AQ214</f>
        <v>0</v>
      </c>
      <c r="AD214" s="844" t="str">
        <f>IF(AN214=0,"",AQ214/AN214*100)</f>
        <v/>
      </c>
      <c r="AE214" s="93"/>
      <c r="AF214" s="856">
        <f>AR214</f>
        <v>0</v>
      </c>
      <c r="AH214" s="94" t="s">
        <v>203</v>
      </c>
      <c r="AI214" s="94"/>
      <c r="AJ214" s="94"/>
      <c r="AK214" s="94"/>
      <c r="AL214" s="94"/>
      <c r="AM214" s="94"/>
      <c r="AN214" s="94">
        <f>SUMIF(AJ207:AJ213,"VOLUME",AN207:AN213)</f>
        <v>0</v>
      </c>
      <c r="AO214" s="94"/>
      <c r="AP214" s="94"/>
      <c r="AQ214" s="94">
        <f>SUM(AQ207:AQ213)</f>
        <v>0</v>
      </c>
      <c r="AR214" s="94">
        <f>SUM(AR207:AR213)</f>
        <v>0</v>
      </c>
      <c r="AS214" s="94" t="str">
        <f>IF(COUNTIF(AS207:AS213,"&lt;&gt;OK")-COUNTBLANK(AS207:AS213)=0,"OK","À CONTRÔLER")</f>
        <v>OK</v>
      </c>
    </row>
    <row r="215" spans="1:45" ht="24.95" customHeight="1">
      <c r="A215" s="712"/>
      <c r="B215" s="95">
        <v>1</v>
      </c>
      <c r="C215" s="96" t="s">
        <v>206</v>
      </c>
      <c r="D215" s="96"/>
      <c r="E215" s="96"/>
      <c r="F215" s="96"/>
      <c r="G215" s="96"/>
      <c r="H215" s="96"/>
      <c r="I215" s="96"/>
      <c r="J215" s="96"/>
      <c r="K215" s="96"/>
      <c r="L215" s="96"/>
      <c r="M215" s="74"/>
      <c r="N215" s="3"/>
      <c r="O215" s="39" t="s">
        <v>191</v>
      </c>
      <c r="Q215" s="184"/>
      <c r="V215" s="832" t="s">
        <v>208</v>
      </c>
      <c r="W215" s="19" t="s">
        <v>209</v>
      </c>
      <c r="X215" s="36"/>
      <c r="Y215" s="858"/>
      <c r="Z215" s="859"/>
      <c r="AA215" s="97"/>
      <c r="AB215" s="97"/>
      <c r="AC215" s="97"/>
      <c r="AD215" s="97"/>
      <c r="AE215" s="97"/>
      <c r="AF215" s="860"/>
      <c r="AH215" s="3" t="s">
        <v>6994</v>
      </c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24.95" customHeight="1">
      <c r="A216" s="712"/>
      <c r="B216" s="95">
        <v>2</v>
      </c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74"/>
      <c r="N216" s="3"/>
      <c r="O216" s="39" t="s">
        <v>194</v>
      </c>
      <c r="P216" s="3"/>
      <c r="Q216" s="29" t="s">
        <v>584</v>
      </c>
      <c r="V216" s="98" t="str">
        <f t="shared" ref="V216:V223" si="131">IF(C215="","",C215)</f>
        <v>Préparer le verre et le poste de travail.</v>
      </c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H216" s="146" t="s">
        <v>214</v>
      </c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3"/>
    </row>
    <row r="217" spans="1:45" ht="24.95" customHeight="1">
      <c r="A217" s="712"/>
      <c r="B217" s="95">
        <v>3</v>
      </c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74"/>
      <c r="N217" s="3"/>
      <c r="O217" s="39" t="s">
        <v>350</v>
      </c>
      <c r="P217" s="3"/>
      <c r="Q217"/>
      <c r="R217" s="3"/>
      <c r="S217" s="3"/>
      <c r="T217" s="3"/>
      <c r="U217" s="3"/>
      <c r="V217" s="98" t="str">
        <f t="shared" si="131"/>
        <v/>
      </c>
      <c r="W217" s="98"/>
      <c r="X217" s="98"/>
      <c r="Y217" s="98"/>
      <c r="Z217" s="98"/>
      <c r="AA217" s="98"/>
      <c r="AB217" s="98"/>
      <c r="AC217" s="98"/>
      <c r="AD217" s="98"/>
      <c r="AE217" s="98"/>
      <c r="AF217" s="98"/>
      <c r="AH217" s="165" t="s">
        <v>219</v>
      </c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</row>
    <row r="218" spans="1:45" ht="24.95" customHeight="1">
      <c r="A218" s="712"/>
      <c r="B218" s="95">
        <v>4</v>
      </c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74"/>
      <c r="N218" s="3"/>
      <c r="O218" s="39" t="s">
        <v>363</v>
      </c>
      <c r="P218" s="3"/>
      <c r="Q218" s="356" t="s">
        <v>564</v>
      </c>
      <c r="R218" s="3"/>
      <c r="S218" s="3"/>
      <c r="T218" s="3"/>
      <c r="U218" s="3"/>
      <c r="V218" s="98" t="str">
        <f t="shared" si="131"/>
        <v/>
      </c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H218" s="166" t="s">
        <v>222</v>
      </c>
      <c r="AI218" s="167" t="s">
        <v>223</v>
      </c>
      <c r="AJ218" s="165"/>
      <c r="AK218" s="167" t="s">
        <v>224</v>
      </c>
      <c r="AL218" s="165"/>
      <c r="AM218" s="165"/>
      <c r="AN218" s="165"/>
      <c r="AO218" s="167" t="s">
        <v>225</v>
      </c>
      <c r="AP218" s="165"/>
      <c r="AQ218" s="165"/>
      <c r="AR218" s="165"/>
    </row>
    <row r="219" spans="1:45" ht="24.95" customHeight="1">
      <c r="A219" s="712"/>
      <c r="B219" s="95">
        <v>5</v>
      </c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74"/>
      <c r="N219" s="3"/>
      <c r="O219" s="39" t="s">
        <v>366</v>
      </c>
      <c r="P219" s="3"/>
      <c r="Q219"/>
      <c r="R219" s="3"/>
      <c r="S219" s="3"/>
      <c r="T219" s="3"/>
      <c r="U219" s="3"/>
      <c r="V219" s="98" t="str">
        <f t="shared" si="131"/>
        <v/>
      </c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H219" s="750" t="s">
        <v>156</v>
      </c>
      <c r="AI219" s="748" t="s">
        <v>230</v>
      </c>
      <c r="AJ219" s="748"/>
      <c r="AK219" s="749" t="s">
        <v>231</v>
      </c>
      <c r="AL219" s="749"/>
      <c r="AM219" s="749"/>
      <c r="AN219" s="749"/>
      <c r="AO219" s="746" t="s">
        <v>232</v>
      </c>
      <c r="AP219" s="746"/>
      <c r="AQ219" s="746"/>
      <c r="AR219" s="746"/>
    </row>
    <row r="220" spans="1:45" ht="24.95" customHeight="1">
      <c r="A220" s="712"/>
      <c r="B220" s="95">
        <v>6</v>
      </c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74"/>
      <c r="N220" s="3"/>
      <c r="O220" s="39" t="s">
        <v>369</v>
      </c>
      <c r="P220" s="3"/>
      <c r="Q220" s="356" t="s">
        <v>72</v>
      </c>
      <c r="R220" s="3"/>
      <c r="S220" s="3"/>
      <c r="T220" s="3"/>
      <c r="U220" s="3"/>
      <c r="V220" s="98" t="str">
        <f t="shared" si="131"/>
        <v/>
      </c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H220" s="750"/>
      <c r="AI220" s="748"/>
      <c r="AJ220" s="748"/>
      <c r="AK220" s="749"/>
      <c r="AL220" s="749"/>
      <c r="AM220" s="749"/>
      <c r="AN220" s="749"/>
      <c r="AO220" s="746"/>
      <c r="AP220" s="746"/>
      <c r="AQ220" s="746"/>
      <c r="AR220" s="746"/>
    </row>
    <row r="221" spans="1:45" ht="24.95" customHeight="1">
      <c r="A221" s="712"/>
      <c r="B221" s="95">
        <v>7</v>
      </c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74"/>
      <c r="N221" s="3"/>
      <c r="O221" s="39" t="s">
        <v>362</v>
      </c>
      <c r="P221" s="3"/>
      <c r="Q221"/>
      <c r="R221" s="3"/>
      <c r="S221" s="3"/>
      <c r="T221" s="3"/>
      <c r="U221" s="3"/>
      <c r="V221" s="98" t="str">
        <f t="shared" si="131"/>
        <v/>
      </c>
      <c r="W221" s="98"/>
      <c r="X221" s="98"/>
      <c r="Y221" s="98"/>
      <c r="Z221" s="98"/>
      <c r="AA221" s="98"/>
      <c r="AB221" s="98"/>
      <c r="AC221" s="98"/>
      <c r="AD221" s="98"/>
      <c r="AE221" s="98"/>
      <c r="AF221" s="98"/>
      <c r="AH221" s="747" t="s">
        <v>492</v>
      </c>
      <c r="AI221" s="748" t="s">
        <v>241</v>
      </c>
      <c r="AJ221" s="748"/>
      <c r="AK221" s="749" t="s">
        <v>242</v>
      </c>
      <c r="AL221" s="749"/>
      <c r="AM221" s="749"/>
      <c r="AN221" s="749"/>
      <c r="AO221" s="746" t="s">
        <v>243</v>
      </c>
      <c r="AP221" s="746"/>
      <c r="AQ221" s="746"/>
      <c r="AR221" s="746"/>
    </row>
    <row r="222" spans="1:45" ht="24.95" customHeight="1">
      <c r="A222" s="712"/>
      <c r="B222" s="95">
        <v>8</v>
      </c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74"/>
      <c r="N222" s="3"/>
      <c r="O222" s="39" t="s">
        <v>364</v>
      </c>
      <c r="P222" s="3"/>
      <c r="Q222" s="356" t="s">
        <v>602</v>
      </c>
      <c r="R222" s="3"/>
      <c r="S222" s="3"/>
      <c r="T222" s="3"/>
      <c r="U222" s="3"/>
      <c r="V222" s="98" t="str">
        <f t="shared" si="131"/>
        <v/>
      </c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H222" s="747"/>
      <c r="AI222" s="748"/>
      <c r="AJ222" s="748"/>
      <c r="AK222" s="749"/>
      <c r="AL222" s="749"/>
      <c r="AM222" s="749"/>
      <c r="AN222" s="749"/>
      <c r="AO222" s="746"/>
      <c r="AP222" s="746"/>
      <c r="AQ222" s="746"/>
      <c r="AR222" s="746"/>
    </row>
    <row r="223" spans="1:45" ht="24.95" customHeight="1">
      <c r="A223" s="712"/>
      <c r="B223" s="101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90"/>
      <c r="N223" s="3"/>
      <c r="O223" s="39" t="s">
        <v>367</v>
      </c>
      <c r="P223" s="3"/>
      <c r="Q223" s="183"/>
      <c r="R223" s="3"/>
      <c r="S223" s="3"/>
      <c r="T223" s="3"/>
      <c r="U223" s="3"/>
      <c r="V223" s="98" t="str">
        <f t="shared" si="131"/>
        <v/>
      </c>
      <c r="W223" s="98"/>
      <c r="X223" s="98"/>
      <c r="Y223" s="98"/>
      <c r="Z223" s="98"/>
      <c r="AA223" s="98"/>
      <c r="AB223" s="98"/>
      <c r="AC223" s="98"/>
      <c r="AD223" s="98"/>
      <c r="AE223" s="98"/>
      <c r="AF223" s="98"/>
      <c r="AH223" s="750" t="s">
        <v>6993</v>
      </c>
      <c r="AI223" s="748" t="s">
        <v>252</v>
      </c>
      <c r="AJ223" s="748"/>
      <c r="AK223" s="749" t="s">
        <v>253</v>
      </c>
      <c r="AL223" s="749"/>
      <c r="AM223" s="749"/>
      <c r="AN223" s="749"/>
      <c r="AO223" s="746" t="s">
        <v>254</v>
      </c>
      <c r="AP223" s="746"/>
      <c r="AQ223" s="746"/>
      <c r="AR223" s="746"/>
    </row>
    <row r="224" spans="1:45" ht="24.95" customHeight="1">
      <c r="A224" s="712"/>
      <c r="B224" s="10" t="s">
        <v>258</v>
      </c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92"/>
      <c r="N224" s="3"/>
      <c r="O224" s="39" t="s">
        <v>352</v>
      </c>
      <c r="P224" s="3"/>
      <c r="Q224" s="356" t="s">
        <v>609</v>
      </c>
      <c r="R224" s="3"/>
      <c r="S224" s="3"/>
      <c r="T224" s="3"/>
      <c r="U224" s="3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H224" s="750"/>
      <c r="AI224" s="748"/>
      <c r="AJ224" s="748"/>
      <c r="AK224" s="749"/>
      <c r="AL224" s="749"/>
      <c r="AM224" s="749"/>
      <c r="AN224" s="749"/>
      <c r="AO224" s="746"/>
      <c r="AP224" s="746"/>
      <c r="AQ224" s="746"/>
      <c r="AR224" s="746"/>
    </row>
    <row r="225" spans="1:45" ht="24.95" customHeight="1">
      <c r="A225" s="712"/>
      <c r="B225" s="102" t="s">
        <v>259</v>
      </c>
      <c r="C225" s="73" t="s">
        <v>6671</v>
      </c>
      <c r="D225" s="73"/>
      <c r="E225" s="73"/>
      <c r="F225" s="73"/>
      <c r="G225" s="73"/>
      <c r="H225" s="73"/>
      <c r="I225" s="73"/>
      <c r="J225" s="73"/>
      <c r="K225" s="73"/>
      <c r="L225" s="73"/>
      <c r="M225" s="74"/>
      <c r="N225" s="3"/>
      <c r="O225" s="39" t="s">
        <v>378</v>
      </c>
      <c r="P225" s="3"/>
      <c r="R225" s="3"/>
      <c r="S225" s="3"/>
      <c r="T225" s="3"/>
      <c r="U225" s="3"/>
      <c r="V225" s="103" t="s">
        <v>260</v>
      </c>
      <c r="W225" s="103" t="s">
        <v>209</v>
      </c>
      <c r="X225" s="103"/>
      <c r="Y225" s="103"/>
      <c r="Z225" s="103"/>
      <c r="AA225" s="103"/>
      <c r="AB225" s="103"/>
      <c r="AC225" s="103"/>
      <c r="AD225" s="103"/>
      <c r="AE225" s="103"/>
      <c r="AF225" s="103"/>
      <c r="AH225" s="171" t="s">
        <v>261</v>
      </c>
      <c r="AI225" s="172"/>
      <c r="AJ225" s="165"/>
      <c r="AK225" s="165"/>
      <c r="AL225" s="165"/>
      <c r="AM225" s="165"/>
      <c r="AN225" s="165"/>
      <c r="AO225" s="165"/>
      <c r="AP225" s="165"/>
      <c r="AQ225" s="165"/>
      <c r="AR225" s="165"/>
    </row>
    <row r="226" spans="1:45" ht="24.95" customHeight="1">
      <c r="A226" s="712"/>
      <c r="B226" s="102" t="s">
        <v>262</v>
      </c>
      <c r="C226" s="73" t="s">
        <v>263</v>
      </c>
      <c r="D226" s="73"/>
      <c r="E226" s="73"/>
      <c r="F226" s="73"/>
      <c r="G226" s="73"/>
      <c r="H226" s="73"/>
      <c r="I226" s="73"/>
      <c r="J226" s="73"/>
      <c r="K226" s="73"/>
      <c r="L226" s="73"/>
      <c r="M226" s="74"/>
      <c r="N226" s="3"/>
      <c r="O226" s="39" t="s">
        <v>249</v>
      </c>
      <c r="P226" s="3"/>
      <c r="Q226" s="3"/>
      <c r="R226" s="3"/>
      <c r="S226" s="3"/>
      <c r="T226" s="3"/>
      <c r="U226" s="3"/>
      <c r="V226" s="98" t="str">
        <f>IF(C225="","",C225)</f>
        <v>Exemple &gt; Tumbler (Old Fashioned)</v>
      </c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H226" s="172" t="s">
        <v>264</v>
      </c>
      <c r="AI226" s="172"/>
      <c r="AJ226" s="165"/>
      <c r="AK226" s="172"/>
      <c r="AL226" s="165"/>
      <c r="AM226" s="165"/>
      <c r="AN226" s="165"/>
      <c r="AO226" s="172"/>
      <c r="AP226" s="165"/>
      <c r="AQ226" s="165"/>
      <c r="AR226" s="165"/>
    </row>
    <row r="227" spans="1:45" ht="24.95" customHeight="1">
      <c r="A227" s="712"/>
      <c r="B227" s="104" t="s">
        <v>267</v>
      </c>
      <c r="C227" s="105"/>
      <c r="D227" s="73"/>
      <c r="E227" s="73"/>
      <c r="F227" s="73"/>
      <c r="G227" s="73"/>
      <c r="H227" s="73"/>
      <c r="I227" s="73"/>
      <c r="J227" s="73"/>
      <c r="K227" s="73"/>
      <c r="L227" s="73"/>
      <c r="M227" s="74"/>
      <c r="N227" s="3"/>
      <c r="O227" s="39" t="s">
        <v>380</v>
      </c>
      <c r="P227" s="3"/>
      <c r="Q227" s="3"/>
      <c r="R227" s="3"/>
      <c r="S227" s="3"/>
      <c r="T227" s="3"/>
      <c r="U227" s="3"/>
      <c r="V227" s="98" t="str">
        <f>IF(C226="","",C226)</f>
        <v>Doseur / jigger ; cuillère à mélange ; bec verseur ; pince à glaçons</v>
      </c>
      <c r="W227" s="98"/>
      <c r="X227" s="98"/>
      <c r="Y227" s="98"/>
      <c r="Z227" s="98"/>
      <c r="AA227" s="98"/>
      <c r="AB227" s="98"/>
      <c r="AC227" s="98"/>
      <c r="AD227" s="98"/>
      <c r="AE227" s="98"/>
      <c r="AF227" s="98"/>
      <c r="AH227" s="172" t="s">
        <v>269</v>
      </c>
      <c r="AI227" s="172"/>
      <c r="AJ227" s="173"/>
      <c r="AK227" s="173"/>
      <c r="AL227" s="165"/>
      <c r="AM227" s="165"/>
      <c r="AN227" s="165"/>
      <c r="AO227" s="165"/>
      <c r="AP227" s="165"/>
      <c r="AQ227" s="165"/>
      <c r="AR227" s="165"/>
    </row>
    <row r="228" spans="1:45" ht="24.95" customHeight="1">
      <c r="A228" s="712"/>
      <c r="N228" s="3"/>
      <c r="O228" s="39" t="s">
        <v>382</v>
      </c>
      <c r="P228" s="3"/>
      <c r="Q228" s="3"/>
      <c r="R228" s="3"/>
      <c r="S228" s="3"/>
      <c r="T228" s="3"/>
      <c r="U228" s="3"/>
      <c r="V228" s="98" t="str">
        <f>IF(C227="","",C227)</f>
        <v/>
      </c>
      <c r="W228" s="98"/>
      <c r="X228" s="98"/>
      <c r="Y228" s="98"/>
      <c r="Z228" s="98"/>
      <c r="AA228" s="98"/>
      <c r="AB228" s="98"/>
      <c r="AC228" s="98"/>
      <c r="AD228" s="98"/>
      <c r="AE228" s="98"/>
      <c r="AF228" s="98"/>
      <c r="AH228" s="168" t="s">
        <v>274</v>
      </c>
      <c r="AI228" s="165"/>
      <c r="AJ228" s="173"/>
      <c r="AK228" s="173"/>
      <c r="AL228" s="165"/>
      <c r="AM228" s="165"/>
      <c r="AN228" s="165"/>
      <c r="AO228" s="165"/>
      <c r="AP228" s="165"/>
      <c r="AQ228" s="165"/>
      <c r="AR228" s="165"/>
    </row>
    <row r="229" spans="1:45" ht="24.95" customHeight="1">
      <c r="A229" s="713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7" t="s">
        <v>272</v>
      </c>
      <c r="N229" s="3"/>
      <c r="O229" s="39" t="s">
        <v>353</v>
      </c>
      <c r="P229" s="3"/>
      <c r="Q229" s="3"/>
      <c r="R229" s="3"/>
      <c r="S229" s="3"/>
      <c r="T229" s="3"/>
      <c r="U229" s="3"/>
      <c r="V229" s="108" t="s">
        <v>277</v>
      </c>
      <c r="W229" s="108"/>
      <c r="X229" s="108"/>
      <c r="Y229" s="108"/>
      <c r="Z229" s="108"/>
      <c r="AA229" s="108"/>
      <c r="AB229" s="108"/>
      <c r="AC229" s="108"/>
      <c r="AD229" s="108"/>
      <c r="AE229" s="108"/>
      <c r="AF229" s="109" t="s">
        <v>277</v>
      </c>
      <c r="AH229" s="168" t="s">
        <v>278</v>
      </c>
      <c r="AI229" s="172"/>
      <c r="AJ229" s="173"/>
      <c r="AK229" s="173"/>
      <c r="AL229" s="165"/>
      <c r="AM229" s="165"/>
      <c r="AN229" s="165"/>
      <c r="AO229" s="165"/>
      <c r="AP229" s="165"/>
      <c r="AQ229" s="165"/>
      <c r="AR229" s="165"/>
    </row>
    <row r="230" spans="1:45" ht="24.95" customHeight="1">
      <c r="A230" s="715"/>
      <c r="B230" s="716"/>
      <c r="C230" s="716"/>
      <c r="D230" s="716"/>
      <c r="E230" s="716"/>
      <c r="F230" s="716"/>
      <c r="G230" s="716"/>
      <c r="H230" s="716"/>
      <c r="I230" s="716"/>
      <c r="J230" s="716"/>
      <c r="K230" s="716"/>
      <c r="L230" s="716"/>
      <c r="M230" s="716"/>
      <c r="N230" s="717"/>
      <c r="O230" s="39" t="s">
        <v>201</v>
      </c>
      <c r="P230" s="717"/>
      <c r="Q230" s="3"/>
      <c r="R230" s="3"/>
      <c r="S230" s="3"/>
      <c r="T230" s="3"/>
      <c r="U230" s="719"/>
      <c r="V230" s="761"/>
      <c r="W230" s="761"/>
      <c r="X230" s="761"/>
      <c r="Y230" s="720"/>
      <c r="Z230" s="721"/>
      <c r="AA230" s="721"/>
      <c r="AB230" s="721"/>
      <c r="AC230" s="721"/>
      <c r="AD230" s="721"/>
      <c r="AE230" s="721"/>
      <c r="AF230" s="721"/>
      <c r="AG230" s="719"/>
      <c r="AH230" s="718"/>
      <c r="AI230" s="718"/>
      <c r="AJ230" s="718"/>
      <c r="AK230" s="718"/>
      <c r="AL230" s="718"/>
      <c r="AM230" s="722"/>
      <c r="AN230" s="722"/>
      <c r="AO230" s="722"/>
      <c r="AP230" s="722"/>
      <c r="AQ230" s="722"/>
      <c r="AR230" s="722"/>
      <c r="AS230" s="722"/>
    </row>
    <row r="231" spans="1:45" ht="24.95" customHeight="1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9" t="s">
        <v>370</v>
      </c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24.95" customHeight="1">
      <c r="A232" s="149" t="s">
        <v>59</v>
      </c>
      <c r="B232" s="711" t="s">
        <v>60</v>
      </c>
      <c r="C232" s="711"/>
      <c r="D232" s="711"/>
      <c r="E232" s="711"/>
      <c r="F232" s="711"/>
      <c r="G232" s="711"/>
      <c r="H232" s="711"/>
      <c r="I232" s="711"/>
      <c r="J232" s="711"/>
      <c r="K232" s="711"/>
      <c r="L232" s="711"/>
      <c r="M232" s="711"/>
      <c r="N232" s="3"/>
      <c r="O232" s="39" t="s">
        <v>205</v>
      </c>
      <c r="P232" s="3"/>
      <c r="Q232" s="10" t="s">
        <v>61</v>
      </c>
      <c r="R232" s="10"/>
      <c r="S232" s="10"/>
      <c r="T232" s="10"/>
      <c r="V232" s="861" t="s">
        <v>62</v>
      </c>
      <c r="W232" s="861"/>
      <c r="X232" s="861"/>
      <c r="Y232" s="23" t="s">
        <v>63</v>
      </c>
      <c r="Z232" s="24"/>
      <c r="AA232" s="24"/>
      <c r="AB232" s="24"/>
      <c r="AC232" s="24"/>
      <c r="AD232" s="24"/>
      <c r="AE232" s="24"/>
      <c r="AF232" s="24"/>
      <c r="AH232" s="25" t="s">
        <v>64</v>
      </c>
      <c r="AI232" s="25"/>
      <c r="AJ232" s="25" t="s">
        <v>65</v>
      </c>
      <c r="AK232" s="25"/>
      <c r="AL232" s="25"/>
      <c r="AM232" s="26"/>
      <c r="AN232" s="26"/>
      <c r="AO232" s="26"/>
      <c r="AP232" s="26"/>
      <c r="AQ232" s="26"/>
      <c r="AR232" s="26"/>
      <c r="AS232" s="26"/>
    </row>
    <row r="233" spans="1:45" ht="24.95" customHeight="1">
      <c r="A233" s="712"/>
      <c r="B233" s="27" t="s">
        <v>67</v>
      </c>
      <c r="C233" s="28" t="s">
        <v>7262</v>
      </c>
      <c r="D233" s="28"/>
      <c r="E233" s="27" t="s">
        <v>69</v>
      </c>
      <c r="F233" s="355" t="s">
        <v>558</v>
      </c>
      <c r="G233" s="30"/>
      <c r="H233" s="27" t="s">
        <v>71</v>
      </c>
      <c r="I233" s="356" t="s">
        <v>564</v>
      </c>
      <c r="J233" s="30"/>
      <c r="K233" s="27" t="s">
        <v>73</v>
      </c>
      <c r="L233" s="32" t="s">
        <v>6669</v>
      </c>
      <c r="M233" s="33"/>
      <c r="N233" s="3"/>
      <c r="O233" s="39" t="s">
        <v>388</v>
      </c>
      <c r="P233" s="3"/>
      <c r="Q233" s="14" t="s">
        <v>27</v>
      </c>
      <c r="R233" s="35">
        <v>10</v>
      </c>
      <c r="S233" s="15" t="s">
        <v>76</v>
      </c>
      <c r="T233" s="15"/>
      <c r="V233" s="831" t="s">
        <v>77</v>
      </c>
      <c r="W233" s="862" t="str">
        <f>C233</f>
        <v>NOM DU COCKTAIL N°7</v>
      </c>
      <c r="X233" s="862"/>
      <c r="Y233" s="862"/>
      <c r="Z233" s="36" t="s">
        <v>78</v>
      </c>
      <c r="AA233" s="24" t="str">
        <f>F233</f>
        <v>Avec ou sans Alcool</v>
      </c>
      <c r="AB233" s="24"/>
      <c r="AC233" s="831" t="s">
        <v>71</v>
      </c>
      <c r="AD233" s="37" t="str">
        <f>I233</f>
        <v xml:space="preserve">Quand </v>
      </c>
      <c r="AE233" s="831" t="s">
        <v>73</v>
      </c>
      <c r="AF233" s="24" t="str">
        <f>L233</f>
        <v>TYPE DE COCKTAIL</v>
      </c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24.95" customHeight="1">
      <c r="A234" s="712"/>
      <c r="B234" s="27" t="s">
        <v>80</v>
      </c>
      <c r="C234" s="38" t="s">
        <v>561</v>
      </c>
      <c r="D234" s="30"/>
      <c r="E234" s="27" t="s">
        <v>82</v>
      </c>
      <c r="F234" s="39" t="s">
        <v>83</v>
      </c>
      <c r="G234" s="30"/>
      <c r="H234" s="27" t="s">
        <v>84</v>
      </c>
      <c r="I234" s="40">
        <v>1</v>
      </c>
      <c r="J234" s="41" t="s">
        <v>83</v>
      </c>
      <c r="K234" s="41"/>
      <c r="L234" s="42" t="s">
        <v>76</v>
      </c>
      <c r="M234" s="33"/>
      <c r="N234" s="3"/>
      <c r="O234" s="39" t="s">
        <v>390</v>
      </c>
      <c r="Q234" s="14" t="s">
        <v>31</v>
      </c>
      <c r="R234" s="35"/>
      <c r="S234" s="15" t="s">
        <v>86</v>
      </c>
      <c r="T234" s="15"/>
      <c r="V234" s="44" t="s">
        <v>87</v>
      </c>
      <c r="W234" s="150" t="str">
        <f>R238</f>
        <v/>
      </c>
      <c r="X234" s="43" t="s">
        <v>88</v>
      </c>
      <c r="Y234" s="43"/>
      <c r="Z234" s="44" t="s">
        <v>89</v>
      </c>
      <c r="AA234" s="45">
        <f>R240</f>
        <v>0</v>
      </c>
      <c r="AB234" s="46" t="s">
        <v>90</v>
      </c>
      <c r="AC234" s="44" t="s">
        <v>91</v>
      </c>
      <c r="AD234" s="45">
        <f>R235</f>
        <v>10</v>
      </c>
      <c r="AE234" s="47" t="s">
        <v>92</v>
      </c>
      <c r="AF234" s="43" t="str">
        <f>R242</f>
        <v>NOMBRE DE COCKTAILS</v>
      </c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24.95" customHeight="1">
      <c r="A235" s="712"/>
      <c r="B235" s="27" t="s">
        <v>94</v>
      </c>
      <c r="C235" s="151" t="s">
        <v>6670</v>
      </c>
      <c r="D235" s="30"/>
      <c r="E235" s="30"/>
      <c r="F235" s="30"/>
      <c r="G235" s="30"/>
      <c r="H235" s="27" t="s">
        <v>96</v>
      </c>
      <c r="I235" s="48">
        <v>15</v>
      </c>
      <c r="J235" s="152" t="s">
        <v>32</v>
      </c>
      <c r="K235" s="30"/>
      <c r="L235" s="30"/>
      <c r="M235" s="33"/>
      <c r="N235" s="3"/>
      <c r="O235" s="39" t="s">
        <v>125</v>
      </c>
      <c r="Q235" s="14" t="s">
        <v>98</v>
      </c>
      <c r="R235" s="49">
        <f>IF(AND(ISNUMBER(R234),R234&gt;0),IFERROR(R234*1000/R236,0),IF(AND(ISNUMBER(R233),R233&gt;0,ISNUMBER(I234),I234&gt;0),R233/I234,1))</f>
        <v>10</v>
      </c>
      <c r="S235" s="50" t="s">
        <v>99</v>
      </c>
      <c r="T235" s="50"/>
      <c r="V235" s="44" t="s">
        <v>100</v>
      </c>
      <c r="W235" s="51">
        <f>IF(R236="","",R236/10)</f>
        <v>0</v>
      </c>
      <c r="X235" s="46" t="s">
        <v>32</v>
      </c>
      <c r="Y235" s="43"/>
      <c r="Z235" s="44" t="s">
        <v>101</v>
      </c>
      <c r="AA235" s="45" t="str">
        <f>R237</f>
        <v/>
      </c>
      <c r="AB235" s="46" t="s">
        <v>32</v>
      </c>
      <c r="AC235" s="44" t="s">
        <v>102</v>
      </c>
      <c r="AD235" s="45">
        <f>R241</f>
        <v>10</v>
      </c>
      <c r="AE235" s="51"/>
      <c r="AF235" s="4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24.95" customHeight="1">
      <c r="A236" s="712"/>
      <c r="B236" s="27"/>
      <c r="C236" s="52" t="str">
        <f>UPPER(LEFT(C233,1)) &amp; " . " &amp; UPPER(LEFT(C233,1)) &amp; LOWER(MID(C233,2,999)) &amp; " . " &amp; UPPER(LEFT(F233,1)) &amp; LOWER(MID(F233,2,999)) &amp; " . " &amp; UPPER(LEFT(I233,1)) &amp; LOWER(MID(I233,2,999)) &amp; " . " &amp; "Verre " &amp; UPPER(LEFT(F234,1)) &amp; LOWER(MID(F234,2,999)) &amp; IF(LEFT(L233,1)=UPPER(LEFT(L233,1)),".","") &amp; UPPER(LEFT(L233,1)) &amp; LOWER(MID(L233,2,999))&amp;"  couleur"&amp;" "&amp;C234&amp;"  intensité"&amp;" "&amp;C235</f>
        <v>N . Nom du cocktail n°7 . Avec ou sans alcool . Quand  . Verre Tumbler (old fashioned).Type de cocktail  couleur Couleur dominante à coller  intensité ****  précisez</v>
      </c>
      <c r="D236" s="52"/>
      <c r="E236" s="52"/>
      <c r="F236" s="52"/>
      <c r="G236" s="52"/>
      <c r="H236" s="52"/>
      <c r="I236" s="52"/>
      <c r="J236" s="52"/>
      <c r="K236" s="52"/>
      <c r="L236" s="30"/>
      <c r="M236" s="33"/>
      <c r="N236" s="3"/>
      <c r="O236" s="39" t="s">
        <v>211</v>
      </c>
      <c r="Q236" s="14" t="s">
        <v>105</v>
      </c>
      <c r="R236" s="49">
        <f>SUMIF(AJ243:AJ249,"VOLUME",AL243:AL249)</f>
        <v>0</v>
      </c>
      <c r="S236" s="50" t="s">
        <v>22</v>
      </c>
      <c r="T236" s="50"/>
      <c r="V236" s="44" t="s">
        <v>96</v>
      </c>
      <c r="W236" s="51">
        <f>I235</f>
        <v>15</v>
      </c>
      <c r="X236" s="46" t="str">
        <f>J235</f>
        <v>cl</v>
      </c>
      <c r="Y236" s="43"/>
      <c r="Z236" s="44" t="s">
        <v>82</v>
      </c>
      <c r="AA236" s="54" t="str">
        <f>F234</f>
        <v>Tumbler (Old Fashioned)</v>
      </c>
      <c r="AB236" s="43"/>
      <c r="AC236" s="44" t="s">
        <v>106</v>
      </c>
      <c r="AD236" s="45">
        <f>R243</f>
        <v>25</v>
      </c>
      <c r="AE236" s="46" t="s">
        <v>32</v>
      </c>
      <c r="AF236" s="4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24.95" customHeight="1">
      <c r="A237" s="712"/>
      <c r="B237" s="27" t="s">
        <v>110</v>
      </c>
      <c r="C237" s="55" t="s">
        <v>579</v>
      </c>
      <c r="D237" s="55"/>
      <c r="E237" s="154"/>
      <c r="F237" s="154"/>
      <c r="G237" s="154"/>
      <c r="H237" s="154"/>
      <c r="I237" s="154"/>
      <c r="J237" s="154"/>
      <c r="K237" s="154"/>
      <c r="L237" s="30"/>
      <c r="M237" s="33"/>
      <c r="N237" s="3"/>
      <c r="O237" s="39" t="s">
        <v>216</v>
      </c>
      <c r="Q237" s="14" t="s">
        <v>113</v>
      </c>
      <c r="R237" s="49" t="str">
        <f>IF(OR(R236=0,NOT(ISNUMBER(I234)),I234&lt;=0),"",R236/I234/10)</f>
        <v/>
      </c>
      <c r="S237" s="50" t="s">
        <v>32</v>
      </c>
      <c r="T237" s="50"/>
      <c r="V237" s="44" t="s">
        <v>114</v>
      </c>
      <c r="W237" s="51" t="str">
        <f>IF(I235="","",IF(R243="","⚠ À CONTRÔLER",IF(I235&lt;=R243,"✔ OK","❌ DÉPASSE CAPACITÉ")))</f>
        <v>✔ OK</v>
      </c>
      <c r="X237" s="43"/>
      <c r="Y237" s="43"/>
      <c r="Z237" s="44"/>
      <c r="AA237" s="56"/>
      <c r="AB237" s="43"/>
      <c r="AC237" s="43"/>
      <c r="AD237" s="46"/>
      <c r="AE237" s="46"/>
      <c r="AF237" s="4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24.95" customHeight="1">
      <c r="A238" s="712"/>
      <c r="B238" s="30"/>
      <c r="C238" s="30"/>
      <c r="D238" s="30"/>
      <c r="E238" s="30"/>
      <c r="F238" s="30"/>
      <c r="G238" s="30"/>
      <c r="H238" s="206"/>
      <c r="I238" s="30"/>
      <c r="J238" s="30"/>
      <c r="K238" s="30"/>
      <c r="L238" s="30"/>
      <c r="M238" s="33"/>
      <c r="N238" s="3"/>
      <c r="O238" s="39" t="s">
        <v>83</v>
      </c>
      <c r="Q238" s="14" t="s">
        <v>118</v>
      </c>
      <c r="R238" s="155" t="str">
        <f>IF(AN250=0,"",SUM(AQ243:AQ249)/AN250*100)</f>
        <v/>
      </c>
      <c r="S238" s="50" t="s">
        <v>88</v>
      </c>
      <c r="T238" s="50"/>
      <c r="V238" s="44" t="s">
        <v>110</v>
      </c>
      <c r="W238" s="46" t="str">
        <f>C237</f>
        <v>Description</v>
      </c>
      <c r="X238" s="43"/>
      <c r="Y238" s="43"/>
      <c r="Z238" s="44"/>
      <c r="AA238" s="56"/>
      <c r="AB238" s="43"/>
      <c r="AC238" s="43"/>
      <c r="AD238" s="46"/>
      <c r="AE238" s="46"/>
      <c r="AF238" s="4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24.95" customHeight="1">
      <c r="A239" s="712"/>
      <c r="B239" s="57" t="s">
        <v>121</v>
      </c>
      <c r="C239" s="58" t="s">
        <v>568</v>
      </c>
      <c r="D239" s="58"/>
      <c r="E239" s="59"/>
      <c r="F239" s="57" t="s">
        <v>123</v>
      </c>
      <c r="G239" s="58"/>
      <c r="H239" s="60"/>
      <c r="I239" s="60"/>
      <c r="J239" s="61"/>
      <c r="K239" s="61"/>
      <c r="L239" s="61"/>
      <c r="M239" s="62"/>
      <c r="N239" s="3"/>
      <c r="O239" s="39" t="s">
        <v>355</v>
      </c>
      <c r="Q239" s="14" t="s">
        <v>126</v>
      </c>
      <c r="R239" s="156">
        <f>SUM(AR243:AR249)</f>
        <v>0</v>
      </c>
      <c r="S239" s="50" t="s">
        <v>90</v>
      </c>
      <c r="T239" s="50"/>
      <c r="V239" s="44" t="s">
        <v>121</v>
      </c>
      <c r="W239" s="46" t="str">
        <f>C239</f>
        <v>VOUS</v>
      </c>
      <c r="X239" s="43"/>
      <c r="Y239" s="43"/>
      <c r="Z239" s="44" t="s">
        <v>94</v>
      </c>
      <c r="AA239" s="54" t="str">
        <f>C235</f>
        <v>****  précisez</v>
      </c>
      <c r="AB239" s="43"/>
      <c r="AC239" s="759" t="str">
        <f>UPPER(LEFT(C233,1))&amp;" . "&amp;UPPER(LEFT(C233,1))&amp;LOWER(MID(C233,2,999))&amp;" . "&amp;UPPER(LEFT(F233,1))&amp;LOWER(MID(F233,2,999))&amp;" . "&amp;UPPER(LEFT(I233,1))&amp;LOWER(MID(I233,2,999))&amp;" . "&amp;"Verre "&amp;UPPER(LEFT(F234,1))&amp;LOWER(MID(F234,2,999))&amp;IF(LEFT(L233,1)=UPPER(LEFT(L233,1)),".","")&amp;UPPER(LEFT(L233,1))&amp;LOWER(MID(L233,2,999))&amp;"  couleur "&amp;C234&amp;"  intensité "&amp;C235</f>
        <v>N . Nom du cocktail n°7 . Avec ou sans alcool . Quand  . Verre Tumbler (old fashioned).Type de cocktail  couleur Couleur dominante à coller  intensité ****  précisez</v>
      </c>
      <c r="AD239" s="759"/>
      <c r="AE239" s="759"/>
      <c r="AF239" s="759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24.95" customHeight="1">
      <c r="A240" s="712"/>
      <c r="B240" s="10" t="s">
        <v>131</v>
      </c>
      <c r="C240" s="10" t="s">
        <v>132</v>
      </c>
      <c r="D240" s="10"/>
      <c r="E240" s="10"/>
      <c r="F240" s="10"/>
      <c r="G240" s="10"/>
      <c r="H240" s="10"/>
      <c r="I240" s="10"/>
      <c r="J240" s="11" t="str">
        <f>IF(COUNTIF(C242:C248,"*~**")+COUNTIF(C242:C248,"*~?*")=0,"",IF(COUNTIF(C242:C248,"*~**")&gt;0,COUNTIF(C242:C248,"*~**")&amp;" allergène"&amp;IF(COUNTIF(C242:C248,"*~**")&gt;1,"s","")&amp;" repéré"&amp;IF(COUNTIF(C242:C248,"*~**")&gt;1,"s","")&amp;" par *","")&amp;IF(AND(COUNTIF(C242:C248,"*~**")&gt;0,COUNTIF(C242:C248,"*~?*")&gt;0)," | ","")&amp;IF(COUNTIF(C242:C248,"*~?*")&gt;0,COUNTIF(C242:C248,"*~?*")&amp;" produit"&amp;IF(COUNTIF(C242:C248,"*~?*")&gt;1,"s","")&amp;" à vérifier par ?",""))</f>
        <v/>
      </c>
      <c r="K240" s="10"/>
      <c r="L240" s="10"/>
      <c r="M240" s="63"/>
      <c r="N240" s="3"/>
      <c r="O240" s="39" t="s">
        <v>227</v>
      </c>
      <c r="Q240" s="14" t="s">
        <v>134</v>
      </c>
      <c r="R240" s="156">
        <f>IF(OR(R239="",R241="",R241=0),"",R239/R241)</f>
        <v>0</v>
      </c>
      <c r="S240" s="50" t="s">
        <v>135</v>
      </c>
      <c r="T240" s="50"/>
      <c r="V240" s="852" t="s">
        <v>136</v>
      </c>
      <c r="W240" s="853">
        <f>R239</f>
        <v>0</v>
      </c>
      <c r="X240" s="854" t="s">
        <v>90</v>
      </c>
      <c r="Y240" s="43"/>
      <c r="Z240" s="44" t="s">
        <v>137</v>
      </c>
      <c r="AA240" s="54" t="str">
        <f>C233</f>
        <v>NOM DU COCKTAIL N°7</v>
      </c>
      <c r="AB240" s="43"/>
      <c r="AC240" s="759"/>
      <c r="AD240" s="759"/>
      <c r="AE240" s="759"/>
      <c r="AF240" s="759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24.95" customHeight="1">
      <c r="A241" s="712"/>
      <c r="B241" s="66">
        <v>0</v>
      </c>
      <c r="C241" s="64" t="s">
        <v>141</v>
      </c>
      <c r="D241" s="65" t="s">
        <v>142</v>
      </c>
      <c r="E241" s="64" t="s">
        <v>9</v>
      </c>
      <c r="F241" s="66" t="s">
        <v>143</v>
      </c>
      <c r="G241" s="66" t="s">
        <v>144</v>
      </c>
      <c r="H241" s="66" t="s">
        <v>145</v>
      </c>
      <c r="I241" s="67" t="s">
        <v>146</v>
      </c>
      <c r="J241" s="67" t="s">
        <v>847</v>
      </c>
      <c r="K241" s="67" t="s">
        <v>148</v>
      </c>
      <c r="L241" s="67" t="s">
        <v>149</v>
      </c>
      <c r="M241" s="68" t="s">
        <v>150</v>
      </c>
      <c r="N241" s="3"/>
      <c r="O241" s="39" t="s">
        <v>270</v>
      </c>
      <c r="Q241" s="14" t="s">
        <v>152</v>
      </c>
      <c r="R241" s="49">
        <f>IF(AND(ISNUMBER(R234),R234&gt;0,ISNUMBER(I235),I235&gt;0),R234*1000/(I235*10),IF(AND(ISNUMBER(R233),R233&gt;0),R233,""))</f>
        <v>10</v>
      </c>
      <c r="S241" s="50" t="s">
        <v>76</v>
      </c>
      <c r="T241" s="50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H241" s="25" t="s">
        <v>153</v>
      </c>
      <c r="AI241" s="25"/>
      <c r="AJ241" s="25" t="s">
        <v>490</v>
      </c>
      <c r="AK241" s="25"/>
      <c r="AL241" s="25"/>
      <c r="AM241" s="25"/>
      <c r="AN241" s="26"/>
      <c r="AO241" s="26"/>
      <c r="AP241" s="26"/>
      <c r="AQ241" s="26"/>
      <c r="AR241" s="26"/>
      <c r="AS241" s="26"/>
    </row>
    <row r="242" spans="1:45" ht="24.95" customHeight="1">
      <c r="A242" s="712"/>
      <c r="B242" s="158">
        <v>1</v>
      </c>
      <c r="C242" s="70"/>
      <c r="D242" s="79"/>
      <c r="E242" s="3"/>
      <c r="F242" s="72"/>
      <c r="G242" s="159"/>
      <c r="H242" s="160"/>
      <c r="I242" s="161"/>
      <c r="J242" s="73" t="s">
        <v>849</v>
      </c>
      <c r="K242" s="73"/>
      <c r="L242" s="73"/>
      <c r="M242" s="74"/>
      <c r="N242" s="3"/>
      <c r="O242" s="39" t="s">
        <v>238</v>
      </c>
      <c r="Q242" s="14" t="s">
        <v>158</v>
      </c>
      <c r="R242" s="75" t="str">
        <f>IF(AND(ISNUMBER(R234),R234&gt;0),"VOLUME TOTAL",IF(AND(ISNUMBER(R233),R233&gt;0),"NOMBRE DE COCKTAILS","RÉFÉRENCE"))</f>
        <v>NOMBRE DE COCKTAILS</v>
      </c>
      <c r="S242" s="50"/>
      <c r="T242" s="50"/>
      <c r="V242" s="831" t="s">
        <v>159</v>
      </c>
      <c r="W242" s="36" t="s">
        <v>160</v>
      </c>
      <c r="X242" s="76" t="s">
        <v>161</v>
      </c>
      <c r="Y242" s="835" t="s">
        <v>162</v>
      </c>
      <c r="Z242" s="838" t="s">
        <v>163</v>
      </c>
      <c r="AA242" s="36" t="s">
        <v>164</v>
      </c>
      <c r="AB242" s="36" t="s">
        <v>9</v>
      </c>
      <c r="AC242" s="841" t="s">
        <v>165</v>
      </c>
      <c r="AD242" s="296" t="s">
        <v>166</v>
      </c>
      <c r="AE242" s="36" t="s">
        <v>146</v>
      </c>
      <c r="AF242" s="833" t="s">
        <v>167</v>
      </c>
      <c r="AH242" s="77" t="s">
        <v>168</v>
      </c>
      <c r="AI242" s="78" t="s">
        <v>159</v>
      </c>
      <c r="AJ242" s="77" t="s">
        <v>10</v>
      </c>
      <c r="AK242" s="77" t="s">
        <v>169</v>
      </c>
      <c r="AL242" s="77" t="s">
        <v>170</v>
      </c>
      <c r="AM242" s="77" t="s">
        <v>91</v>
      </c>
      <c r="AN242" s="78" t="s">
        <v>161</v>
      </c>
      <c r="AO242" s="77" t="s">
        <v>171</v>
      </c>
      <c r="AP242" s="77" t="s">
        <v>172</v>
      </c>
      <c r="AQ242" s="77" t="s">
        <v>165</v>
      </c>
      <c r="AR242" s="77" t="s">
        <v>167</v>
      </c>
      <c r="AS242" s="77" t="s">
        <v>173</v>
      </c>
    </row>
    <row r="243" spans="1:45" ht="24.95" customHeight="1">
      <c r="A243" s="712"/>
      <c r="B243" s="162">
        <v>2</v>
      </c>
      <c r="C243" s="70"/>
      <c r="D243" s="79"/>
      <c r="E243" s="3"/>
      <c r="F243" s="72"/>
      <c r="G243" s="159"/>
      <c r="H243" s="160"/>
      <c r="I243" s="161"/>
      <c r="J243" s="73" t="s">
        <v>6989</v>
      </c>
      <c r="K243" s="73"/>
      <c r="L243" s="73"/>
      <c r="M243" s="74"/>
      <c r="N243" s="3"/>
      <c r="O243" s="39" t="s">
        <v>372</v>
      </c>
      <c r="Q243" s="14" t="s">
        <v>35</v>
      </c>
      <c r="R243" s="35">
        <f>IFERROR(VLOOKUP(F234,$BB$5:$BC$40,2,FALSE),"")</f>
        <v>25</v>
      </c>
      <c r="S243" s="50" t="s">
        <v>32</v>
      </c>
      <c r="T243" s="50"/>
      <c r="V243" s="846" t="str">
        <f t="shared" ref="V243:V249" si="132">IF(AI243="","",AI243)</f>
        <v/>
      </c>
      <c r="W243" s="848" t="str">
        <f t="shared" ref="W243:W249" si="133">IF(C242="","",IF(H242="QS","QS",D242&amp;" "&amp;E242))</f>
        <v/>
      </c>
      <c r="X243" s="81" t="str">
        <f t="shared" ref="X243:X249" si="134">IF(AN243="","",AN243)</f>
        <v/>
      </c>
      <c r="Y243" s="836" t="str">
        <f t="shared" ref="Y243:Y249" si="135">IF(C242="","",IF(H242="QS","Qt. suffisante",IF(AN243="","",IF(AJ243="VOLUME",IF(AN243&gt;=1000,TEXT(AO243,"0.00")&amp;" "&amp;AP243,IF(AN243&gt;=10,TEXT(AO243,"0.0")&amp;" "&amp;AP243&amp;" ► "&amp;TEXT(AN243/1000,"0.000")&amp;" L",TEXT(AO243,"0.0")&amp;" "&amp;AP243)),IF(AJ243="MASSE",TEXT(AO243,"0.00")&amp;" "&amp;AP243,AO243&amp;" "&amp;AP243)))))</f>
        <v/>
      </c>
      <c r="Z243" s="839" t="str">
        <f>IF(OR(C242="",AJ243&lt;&gt;"VOLUME",AN250=0),"","≈ "&amp;TEXT(ROUND(AN243/AN250*10*2,0)/2,"0.0")&amp;"/10")</f>
        <v/>
      </c>
      <c r="AA243" s="82" t="str">
        <f t="shared" ref="AA243:AA249" si="136">IF(AJ243="AUTRE",AO243,"")</f>
        <v/>
      </c>
      <c r="AB243" s="83" t="str">
        <f t="shared" ref="AB243:AB249" si="137">IF(C242="","",AP243)</f>
        <v/>
      </c>
      <c r="AC243" s="842" t="str">
        <f t="shared" ref="AC243:AC249" si="138">IF(C242="","",AQ243)</f>
        <v/>
      </c>
      <c r="AD243" s="163" t="str">
        <f t="shared" ref="AD243:AD249" si="139">IF(C242="","",IF(ISNUMBER(F242),F242,0))</f>
        <v/>
      </c>
      <c r="AE243" s="164" t="str">
        <f t="shared" ref="AE243:AE249" si="140">IF(C242="","",IF(ISNUMBER(I242),I242,""))</f>
        <v/>
      </c>
      <c r="AF243" s="855" t="str">
        <f t="shared" ref="AF243:AF249" si="141">IF(C242="","",AR243)</f>
        <v/>
      </c>
      <c r="AH243" s="84" t="str">
        <f t="shared" ref="AH243:AH249" si="142">IF(C242="","",B242)</f>
        <v/>
      </c>
      <c r="AI243" s="85" t="str">
        <f t="shared" ref="AI243:AI249" si="143">IF(C242="","",C242)</f>
        <v/>
      </c>
      <c r="AJ243" s="84" t="str">
        <f t="shared" ref="AJ243:AJ249" si="144">IF(C242="","",IFERROR(VLOOKUP(E242,$AU$5:$AY$121,2,FALSE),"UNITÉ ?"))</f>
        <v/>
      </c>
      <c r="AK243" s="84" t="str">
        <f t="shared" ref="AK243:AK249" si="145">IF(C242="","",IFERROR(VLOOKUP(E242,$AU$5:$AY$121,3,FALSE),""))</f>
        <v/>
      </c>
      <c r="AL243" s="84" t="str">
        <f t="shared" ref="AL243:AL249" si="146">IF(OR(C242="",H242="QS",NOT(ISNUMBER(D242))),"",D242*AK243)</f>
        <v/>
      </c>
      <c r="AM243" s="84" t="str">
        <f>IF(C242="","",R235)</f>
        <v/>
      </c>
      <c r="AN243" s="84" t="str">
        <f t="shared" ref="AN243:AN249" si="147">IF(C242="","",IF(H242="QS","",IF(AL243="","",IF(OR(H242="F",H242="FIXE"),AL243,AL243*AM243))))</f>
        <v/>
      </c>
      <c r="AO243" s="84" t="str">
        <f t="shared" ref="AO243:AO249" si="148">IF(C242="","",IF(H242="QS","",IF(AN243="","",IF(AJ243="VOLUME",IF(AN243&gt;=1000,ROUND(AN243/1000,2),IF(AN243&gt;=10,ROUND(AN243/10,1),ROUND(AN243,1))),IF(AJ243="MASSE",IF(AN243&gt;=1000,ROUND(AN243/1000,2),ROUND(AN243,0)),ROUND(AN243,2))))))</f>
        <v/>
      </c>
      <c r="AP243" s="84" t="str">
        <f t="shared" ref="AP243:AP249" si="149">IF(C242="","",IF(H242="QS","",IF(AN243="","",IF(AJ243="VOLUME",IF(AN243&gt;=1000,"L",IF(AN243&gt;=10,"cl","ml")),IF(AJ243="MASSE",IF(AN243&gt;=1000,"Kg","g"),IFERROR(VLOOKUP(E242,$AU$5:$AY$121,5,FALSE),E242))))))</f>
        <v/>
      </c>
      <c r="AQ243" s="84" t="str">
        <f t="shared" ref="AQ243:AQ249" si="150">IF(C242="","",IF(OR(AJ243&lt;&gt;"VOLUME",NOT(ISNUMBER(F242)),AN243=""),0,AN243*F242/100))</f>
        <v/>
      </c>
      <c r="AR243" s="84" t="str">
        <f t="shared" ref="AR243:AR249" si="151">IF(C242="","",IF(H242="QS",0,IF(NOT(ISNUMBER(I242)),0,IF(OR(AJ243="VOLUME",AJ243="MASSE"),AN243/1000*I242,AN243*I242))))</f>
        <v/>
      </c>
      <c r="AS243" s="84" t="str">
        <f t="shared" ref="AS243:AS249" si="152">IF(C242="","",IF(H242="QS","OK",IF(NOT(ISNUMBER(D242)),"QUANTITÉ ?",IF(E242="","UNITÉ ?",IF(AJ243="UNITÉ ?","UNITÉ ?",IF(AND(H242&lt;&gt;"",H242&lt;&gt;"PROP",H242&lt;&gt;"F",H242&lt;&gt;"FIXE",H242&lt;&gt;"QS"),"RÈGLE ?","OK"))))))</f>
        <v/>
      </c>
    </row>
    <row r="244" spans="1:45" ht="24.95" customHeight="1">
      <c r="A244" s="712"/>
      <c r="B244" s="158">
        <v>3</v>
      </c>
      <c r="C244" s="70"/>
      <c r="D244" s="79"/>
      <c r="E244" s="3"/>
      <c r="F244" s="72"/>
      <c r="G244" s="159"/>
      <c r="H244" s="160"/>
      <c r="I244" s="161"/>
      <c r="J244" s="73" t="s">
        <v>6990</v>
      </c>
      <c r="K244" s="73"/>
      <c r="L244" s="73"/>
      <c r="M244" s="74"/>
      <c r="N244" s="3"/>
      <c r="O244" s="39" t="s">
        <v>93</v>
      </c>
      <c r="V244" s="846" t="str">
        <f t="shared" si="132"/>
        <v/>
      </c>
      <c r="W244" s="848" t="str">
        <f t="shared" si="133"/>
        <v/>
      </c>
      <c r="X244" s="81" t="str">
        <f t="shared" si="134"/>
        <v/>
      </c>
      <c r="Y244" s="836" t="str">
        <f t="shared" si="135"/>
        <v/>
      </c>
      <c r="Z244" s="839" t="str">
        <f>IF(OR(C243="",AJ244&lt;&gt;"VOLUME",AN250=0),"","≈ "&amp;TEXT(ROUND(AN244/AN250*10*2,0)/2,"0.0")&amp;"/10")</f>
        <v/>
      </c>
      <c r="AA244" s="82" t="str">
        <f t="shared" si="136"/>
        <v/>
      </c>
      <c r="AB244" s="83" t="str">
        <f t="shared" si="137"/>
        <v/>
      </c>
      <c r="AC244" s="842" t="str">
        <f t="shared" si="138"/>
        <v/>
      </c>
      <c r="AD244" s="163" t="str">
        <f t="shared" si="139"/>
        <v/>
      </c>
      <c r="AE244" s="164" t="str">
        <f t="shared" si="140"/>
        <v/>
      </c>
      <c r="AF244" s="855" t="str">
        <f t="shared" si="141"/>
        <v/>
      </c>
      <c r="AH244" s="84" t="str">
        <f t="shared" si="142"/>
        <v/>
      </c>
      <c r="AI244" s="85" t="str">
        <f t="shared" si="143"/>
        <v/>
      </c>
      <c r="AJ244" s="84" t="str">
        <f t="shared" si="144"/>
        <v/>
      </c>
      <c r="AK244" s="84" t="str">
        <f t="shared" si="145"/>
        <v/>
      </c>
      <c r="AL244" s="84" t="str">
        <f t="shared" si="146"/>
        <v/>
      </c>
      <c r="AM244" s="84" t="str">
        <f>IF(C243="","",R235)</f>
        <v/>
      </c>
      <c r="AN244" s="84" t="str">
        <f t="shared" si="147"/>
        <v/>
      </c>
      <c r="AO244" s="84" t="str">
        <f t="shared" si="148"/>
        <v/>
      </c>
      <c r="AP244" s="84" t="str">
        <f t="shared" si="149"/>
        <v/>
      </c>
      <c r="AQ244" s="84" t="str">
        <f t="shared" si="150"/>
        <v/>
      </c>
      <c r="AR244" s="84" t="str">
        <f t="shared" si="151"/>
        <v/>
      </c>
      <c r="AS244" s="84" t="str">
        <f t="shared" si="152"/>
        <v/>
      </c>
    </row>
    <row r="245" spans="1:45" ht="24.95" customHeight="1">
      <c r="A245" s="712"/>
      <c r="B245" s="162">
        <v>4</v>
      </c>
      <c r="C245" s="70"/>
      <c r="D245" s="79"/>
      <c r="E245" s="3"/>
      <c r="F245" s="72"/>
      <c r="G245" s="159"/>
      <c r="H245" s="160"/>
      <c r="I245" s="161"/>
      <c r="J245" s="73" t="s">
        <v>6991</v>
      </c>
      <c r="K245" s="73"/>
      <c r="L245" s="73"/>
      <c r="M245" s="74"/>
      <c r="N245" s="3"/>
      <c r="Q245" s="744" t="s">
        <v>566</v>
      </c>
      <c r="V245" s="846" t="str">
        <f t="shared" si="132"/>
        <v/>
      </c>
      <c r="W245" s="848" t="str">
        <f t="shared" si="133"/>
        <v/>
      </c>
      <c r="X245" s="81" t="str">
        <f t="shared" si="134"/>
        <v/>
      </c>
      <c r="Y245" s="836" t="str">
        <f t="shared" si="135"/>
        <v/>
      </c>
      <c r="Z245" s="839" t="str">
        <f>IF(OR(C244="",AJ245&lt;&gt;"VOLUME",AN250=0),"","≈ "&amp;TEXT(ROUND(AN245/AN250*10*2,0)/2,"0.0")&amp;"/10")</f>
        <v/>
      </c>
      <c r="AA245" s="82" t="str">
        <f t="shared" si="136"/>
        <v/>
      </c>
      <c r="AB245" s="83" t="str">
        <f t="shared" si="137"/>
        <v/>
      </c>
      <c r="AC245" s="842" t="str">
        <f t="shared" si="138"/>
        <v/>
      </c>
      <c r="AD245" s="163" t="str">
        <f t="shared" si="139"/>
        <v/>
      </c>
      <c r="AE245" s="164" t="str">
        <f t="shared" si="140"/>
        <v/>
      </c>
      <c r="AF245" s="855" t="str">
        <f t="shared" si="141"/>
        <v/>
      </c>
      <c r="AH245" s="84" t="str">
        <f t="shared" si="142"/>
        <v/>
      </c>
      <c r="AI245" s="85" t="str">
        <f t="shared" si="143"/>
        <v/>
      </c>
      <c r="AJ245" s="84" t="str">
        <f t="shared" si="144"/>
        <v/>
      </c>
      <c r="AK245" s="84" t="str">
        <f t="shared" si="145"/>
        <v/>
      </c>
      <c r="AL245" s="84" t="str">
        <f t="shared" si="146"/>
        <v/>
      </c>
      <c r="AM245" s="84" t="str">
        <f>IF(C244="","",R235)</f>
        <v/>
      </c>
      <c r="AN245" s="84" t="str">
        <f t="shared" si="147"/>
        <v/>
      </c>
      <c r="AO245" s="84" t="str">
        <f t="shared" si="148"/>
        <v/>
      </c>
      <c r="AP245" s="84" t="str">
        <f t="shared" si="149"/>
        <v/>
      </c>
      <c r="AQ245" s="84" t="str">
        <f t="shared" si="150"/>
        <v/>
      </c>
      <c r="AR245" s="84" t="str">
        <f t="shared" si="151"/>
        <v/>
      </c>
      <c r="AS245" s="84" t="str">
        <f t="shared" si="152"/>
        <v/>
      </c>
    </row>
    <row r="246" spans="1:45" ht="24.95" customHeight="1">
      <c r="A246" s="712"/>
      <c r="B246" s="158">
        <v>5</v>
      </c>
      <c r="C246" s="70"/>
      <c r="D246" s="79"/>
      <c r="E246" s="3"/>
      <c r="F246" s="72"/>
      <c r="G246" s="159"/>
      <c r="H246" s="160"/>
      <c r="I246" s="161"/>
      <c r="J246" s="73" t="s">
        <v>6992</v>
      </c>
      <c r="K246" s="73"/>
      <c r="L246" s="73"/>
      <c r="M246" s="74"/>
      <c r="N246" s="3"/>
      <c r="Q246" s="744"/>
      <c r="V246" s="846" t="str">
        <f t="shared" si="132"/>
        <v/>
      </c>
      <c r="W246" s="848" t="str">
        <f t="shared" si="133"/>
        <v/>
      </c>
      <c r="X246" s="81" t="str">
        <f t="shared" si="134"/>
        <v/>
      </c>
      <c r="Y246" s="836" t="str">
        <f t="shared" si="135"/>
        <v/>
      </c>
      <c r="Z246" s="839" t="str">
        <f>IF(OR(C245="",AJ246&lt;&gt;"VOLUME",AN250=0),"","≈ "&amp;TEXT(ROUND(AN246/AN250*10*2,0)/2,"0.0")&amp;"/10")</f>
        <v/>
      </c>
      <c r="AA246" s="82" t="str">
        <f t="shared" si="136"/>
        <v/>
      </c>
      <c r="AB246" s="83" t="str">
        <f t="shared" si="137"/>
        <v/>
      </c>
      <c r="AC246" s="842" t="str">
        <f t="shared" si="138"/>
        <v/>
      </c>
      <c r="AD246" s="163" t="str">
        <f t="shared" si="139"/>
        <v/>
      </c>
      <c r="AE246" s="164" t="str">
        <f t="shared" si="140"/>
        <v/>
      </c>
      <c r="AF246" s="855" t="str">
        <f t="shared" si="141"/>
        <v/>
      </c>
      <c r="AH246" s="84" t="str">
        <f t="shared" si="142"/>
        <v/>
      </c>
      <c r="AI246" s="85" t="str">
        <f t="shared" si="143"/>
        <v/>
      </c>
      <c r="AJ246" s="84" t="str">
        <f t="shared" si="144"/>
        <v/>
      </c>
      <c r="AK246" s="84" t="str">
        <f t="shared" si="145"/>
        <v/>
      </c>
      <c r="AL246" s="84" t="str">
        <f t="shared" si="146"/>
        <v/>
      </c>
      <c r="AM246" s="84" t="str">
        <f>IF(C245="","",R235)</f>
        <v/>
      </c>
      <c r="AN246" s="84" t="str">
        <f t="shared" si="147"/>
        <v/>
      </c>
      <c r="AO246" s="84" t="str">
        <f t="shared" si="148"/>
        <v/>
      </c>
      <c r="AP246" s="84" t="str">
        <f t="shared" si="149"/>
        <v/>
      </c>
      <c r="AQ246" s="84" t="str">
        <f t="shared" si="150"/>
        <v/>
      </c>
      <c r="AR246" s="84" t="str">
        <f t="shared" si="151"/>
        <v/>
      </c>
      <c r="AS246" s="84" t="str">
        <f t="shared" si="152"/>
        <v/>
      </c>
    </row>
    <row r="247" spans="1:45" ht="24.95" customHeight="1">
      <c r="A247" s="712"/>
      <c r="B247" s="162"/>
      <c r="C247" s="70"/>
      <c r="D247" s="79"/>
      <c r="E247" s="3"/>
      <c r="F247" s="72"/>
      <c r="G247" s="159"/>
      <c r="H247" s="160"/>
      <c r="I247" s="161"/>
      <c r="J247" s="73" t="s">
        <v>243</v>
      </c>
      <c r="K247" s="73"/>
      <c r="L247" s="73"/>
      <c r="M247" s="74"/>
      <c r="N247" s="3"/>
      <c r="O247" s="751" t="s">
        <v>2</v>
      </c>
      <c r="V247" s="846" t="str">
        <f t="shared" si="132"/>
        <v/>
      </c>
      <c r="W247" s="848" t="str">
        <f t="shared" si="133"/>
        <v/>
      </c>
      <c r="X247" s="81" t="str">
        <f t="shared" si="134"/>
        <v/>
      </c>
      <c r="Y247" s="836" t="str">
        <f t="shared" si="135"/>
        <v/>
      </c>
      <c r="Z247" s="839" t="str">
        <f>IF(OR(C246="",AJ247&lt;&gt;"VOLUME",AN250=0),"","≈ "&amp;TEXT(ROUND(AN247/AN250*10*2,0)/2,"0.0")&amp;"/10")</f>
        <v/>
      </c>
      <c r="AA247" s="80" t="str">
        <f t="shared" si="136"/>
        <v/>
      </c>
      <c r="AB247" s="83" t="str">
        <f t="shared" si="137"/>
        <v/>
      </c>
      <c r="AC247" s="842" t="str">
        <f t="shared" si="138"/>
        <v/>
      </c>
      <c r="AD247" s="163" t="str">
        <f t="shared" si="139"/>
        <v/>
      </c>
      <c r="AE247" s="164" t="str">
        <f t="shared" si="140"/>
        <v/>
      </c>
      <c r="AF247" s="855" t="str">
        <f t="shared" si="141"/>
        <v/>
      </c>
      <c r="AH247" s="84" t="str">
        <f t="shared" si="142"/>
        <v/>
      </c>
      <c r="AI247" s="85" t="str">
        <f t="shared" si="143"/>
        <v/>
      </c>
      <c r="AJ247" s="84" t="str">
        <f t="shared" si="144"/>
        <v/>
      </c>
      <c r="AK247" s="84" t="str">
        <f t="shared" si="145"/>
        <v/>
      </c>
      <c r="AL247" s="84" t="str">
        <f t="shared" si="146"/>
        <v/>
      </c>
      <c r="AM247" s="84" t="str">
        <f>IF(C246="","",R235)</f>
        <v/>
      </c>
      <c r="AN247" s="84" t="str">
        <f t="shared" si="147"/>
        <v/>
      </c>
      <c r="AO247" s="84" t="str">
        <f t="shared" si="148"/>
        <v/>
      </c>
      <c r="AP247" s="84" t="str">
        <f t="shared" si="149"/>
        <v/>
      </c>
      <c r="AQ247" s="84" t="str">
        <f t="shared" si="150"/>
        <v/>
      </c>
      <c r="AR247" s="84" t="str">
        <f t="shared" si="151"/>
        <v/>
      </c>
      <c r="AS247" s="84" t="str">
        <f t="shared" si="152"/>
        <v/>
      </c>
    </row>
    <row r="248" spans="1:45" ht="24.95" customHeight="1">
      <c r="A248" s="712"/>
      <c r="B248" s="158"/>
      <c r="C248" s="70"/>
      <c r="D248" s="79"/>
      <c r="E248" s="3"/>
      <c r="F248" s="72"/>
      <c r="G248" s="159"/>
      <c r="H248" s="160"/>
      <c r="I248" s="161"/>
      <c r="J248" s="73" t="s">
        <v>6995</v>
      </c>
      <c r="K248" s="73"/>
      <c r="L248" s="73"/>
      <c r="M248" s="74"/>
      <c r="N248" s="3"/>
      <c r="O248" s="751"/>
      <c r="Q248" s="355" t="s">
        <v>558</v>
      </c>
      <c r="V248" s="847" t="str">
        <f t="shared" si="132"/>
        <v/>
      </c>
      <c r="W248" s="849" t="str">
        <f t="shared" si="133"/>
        <v/>
      </c>
      <c r="X248" s="86" t="str">
        <f t="shared" si="134"/>
        <v/>
      </c>
      <c r="Y248" s="837" t="str">
        <f t="shared" si="135"/>
        <v/>
      </c>
      <c r="Z248" s="840" t="str">
        <f>IF(OR(C247="",AJ248&lt;&gt;"VOLUME",AN250=0),"","≈ "&amp;TEXT(ROUND(AN248/AN250*10*2,0)/2,"0.0")&amp;"/10")</f>
        <v/>
      </c>
      <c r="AA248" s="87" t="str">
        <f t="shared" si="136"/>
        <v/>
      </c>
      <c r="AB248" s="88" t="str">
        <f t="shared" si="137"/>
        <v/>
      </c>
      <c r="AC248" s="843" t="str">
        <f t="shared" si="138"/>
        <v/>
      </c>
      <c r="AD248" s="88" t="str">
        <f t="shared" si="139"/>
        <v/>
      </c>
      <c r="AE248" s="88" t="str">
        <f t="shared" si="140"/>
        <v/>
      </c>
      <c r="AF248" s="834" t="str">
        <f t="shared" si="141"/>
        <v/>
      </c>
      <c r="AH248" s="84" t="str">
        <f t="shared" si="142"/>
        <v/>
      </c>
      <c r="AI248" s="85" t="str">
        <f t="shared" si="143"/>
        <v/>
      </c>
      <c r="AJ248" s="84" t="str">
        <f t="shared" si="144"/>
        <v/>
      </c>
      <c r="AK248" s="84" t="str">
        <f t="shared" si="145"/>
        <v/>
      </c>
      <c r="AL248" s="84" t="str">
        <f t="shared" si="146"/>
        <v/>
      </c>
      <c r="AM248" s="84" t="str">
        <f>IF(C247="","",R235)</f>
        <v/>
      </c>
      <c r="AN248" s="84" t="str">
        <f t="shared" si="147"/>
        <v/>
      </c>
      <c r="AO248" s="84" t="str">
        <f t="shared" si="148"/>
        <v/>
      </c>
      <c r="AP248" s="84" t="str">
        <f t="shared" si="149"/>
        <v/>
      </c>
      <c r="AQ248" s="84" t="str">
        <f t="shared" si="150"/>
        <v/>
      </c>
      <c r="AR248" s="84" t="str">
        <f t="shared" si="151"/>
        <v/>
      </c>
      <c r="AS248" s="84" t="str">
        <f t="shared" si="152"/>
        <v/>
      </c>
    </row>
    <row r="249" spans="1:45" ht="24.95" customHeight="1">
      <c r="A249" s="712"/>
      <c r="B249" s="14" t="s">
        <v>44</v>
      </c>
      <c r="C249" s="146" t="s">
        <v>198</v>
      </c>
      <c r="D249" s="89"/>
      <c r="E249" s="89"/>
      <c r="F249" s="89"/>
      <c r="G249" s="89"/>
      <c r="H249" s="89"/>
      <c r="I249" s="89"/>
      <c r="J249" s="89" t="s">
        <v>6996</v>
      </c>
      <c r="K249" s="89"/>
      <c r="L249" s="89"/>
      <c r="M249" s="90"/>
      <c r="N249" s="3"/>
      <c r="O249" s="751" t="s">
        <v>480</v>
      </c>
      <c r="Q249"/>
      <c r="V249" s="847" t="str">
        <f t="shared" si="132"/>
        <v/>
      </c>
      <c r="W249" s="849" t="str">
        <f t="shared" si="133"/>
        <v/>
      </c>
      <c r="X249" s="86" t="str">
        <f t="shared" si="134"/>
        <v/>
      </c>
      <c r="Y249" s="837" t="str">
        <f t="shared" si="135"/>
        <v/>
      </c>
      <c r="Z249" s="840" t="str">
        <f>IF(OR(C248="",AJ249&lt;&gt;"VOLUME",AN250=0),"","≈ "&amp;TEXT(ROUND(AN249/AN250*10*2,0)/2,"0.0")&amp;"/10")</f>
        <v/>
      </c>
      <c r="AA249" s="87" t="str">
        <f t="shared" si="136"/>
        <v/>
      </c>
      <c r="AB249" s="88" t="str">
        <f t="shared" si="137"/>
        <v/>
      </c>
      <c r="AC249" s="843" t="str">
        <f t="shared" si="138"/>
        <v/>
      </c>
      <c r="AD249" s="88" t="str">
        <f t="shared" si="139"/>
        <v/>
      </c>
      <c r="AE249" s="88" t="str">
        <f t="shared" si="140"/>
        <v/>
      </c>
      <c r="AF249" s="834" t="str">
        <f t="shared" si="141"/>
        <v/>
      </c>
      <c r="AH249" s="84" t="str">
        <f t="shared" si="142"/>
        <v/>
      </c>
      <c r="AI249" s="85" t="str">
        <f t="shared" si="143"/>
        <v/>
      </c>
      <c r="AJ249" s="84" t="str">
        <f t="shared" si="144"/>
        <v/>
      </c>
      <c r="AK249" s="84" t="str">
        <f t="shared" si="145"/>
        <v/>
      </c>
      <c r="AL249" s="84" t="str">
        <f t="shared" si="146"/>
        <v/>
      </c>
      <c r="AM249" s="84" t="str">
        <f>IF(C248="","",R235)</f>
        <v/>
      </c>
      <c r="AN249" s="84" t="str">
        <f t="shared" si="147"/>
        <v/>
      </c>
      <c r="AO249" s="84" t="str">
        <f t="shared" si="148"/>
        <v/>
      </c>
      <c r="AP249" s="84" t="str">
        <f t="shared" si="149"/>
        <v/>
      </c>
      <c r="AQ249" s="84" t="str">
        <f t="shared" si="150"/>
        <v/>
      </c>
      <c r="AR249" s="84" t="str">
        <f t="shared" si="151"/>
        <v/>
      </c>
      <c r="AS249" s="84" t="str">
        <f t="shared" si="152"/>
        <v/>
      </c>
    </row>
    <row r="250" spans="1:45" ht="24.95" customHeight="1">
      <c r="A250" s="712"/>
      <c r="B250" s="91">
        <v>0</v>
      </c>
      <c r="C250" s="10" t="s">
        <v>491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92"/>
      <c r="N250" s="3"/>
      <c r="O250" s="751"/>
      <c r="Q250" s="29" t="s">
        <v>70</v>
      </c>
      <c r="V250" s="851" t="s">
        <v>203</v>
      </c>
      <c r="W250" s="93"/>
      <c r="X250" s="845">
        <f>AN250</f>
        <v>0</v>
      </c>
      <c r="Y250" s="835" t="str">
        <f>IF(AN250=0,"",TEXT(AN250/1000,"0.000")&amp;" L")</f>
        <v/>
      </c>
      <c r="Z250" s="857"/>
      <c r="AA250" s="93"/>
      <c r="AB250" s="93"/>
      <c r="AC250" s="832">
        <f>AQ250</f>
        <v>0</v>
      </c>
      <c r="AD250" s="844" t="str">
        <f>IF(AN250=0,"",AQ250/AN250*100)</f>
        <v/>
      </c>
      <c r="AE250" s="93"/>
      <c r="AF250" s="856">
        <f>AR250</f>
        <v>0</v>
      </c>
      <c r="AH250" s="94" t="s">
        <v>203</v>
      </c>
      <c r="AI250" s="94"/>
      <c r="AJ250" s="94"/>
      <c r="AK250" s="94"/>
      <c r="AL250" s="94"/>
      <c r="AM250" s="94"/>
      <c r="AN250" s="94">
        <f>SUMIF(AJ243:AJ249,"VOLUME",AN243:AN249)</f>
        <v>0</v>
      </c>
      <c r="AO250" s="94"/>
      <c r="AP250" s="94"/>
      <c r="AQ250" s="94">
        <f>SUM(AQ243:AQ249)</f>
        <v>0</v>
      </c>
      <c r="AR250" s="94">
        <f>SUM(AR243:AR249)</f>
        <v>0</v>
      </c>
      <c r="AS250" s="94" t="str">
        <f>IF(COUNTIF(AS243:AS249,"&lt;&gt;OK")-COUNTBLANK(AS243:AS249)=0,"OK","À CONTRÔLER")</f>
        <v>OK</v>
      </c>
    </row>
    <row r="251" spans="1:45" ht="24.95" customHeight="1">
      <c r="A251" s="712"/>
      <c r="B251" s="95">
        <v>1</v>
      </c>
      <c r="C251" s="96" t="s">
        <v>206</v>
      </c>
      <c r="D251" s="96"/>
      <c r="E251" s="96"/>
      <c r="F251" s="96"/>
      <c r="G251" s="96"/>
      <c r="H251" s="96"/>
      <c r="I251" s="96"/>
      <c r="J251" s="96"/>
      <c r="K251" s="96"/>
      <c r="L251" s="96"/>
      <c r="M251" s="74"/>
      <c r="N251" s="3"/>
      <c r="O251" s="16" t="s">
        <v>20</v>
      </c>
      <c r="Q251" s="184"/>
      <c r="V251" s="832" t="s">
        <v>208</v>
      </c>
      <c r="W251" s="19" t="s">
        <v>209</v>
      </c>
      <c r="X251" s="36"/>
      <c r="Y251" s="858"/>
      <c r="Z251" s="859"/>
      <c r="AA251" s="97"/>
      <c r="AB251" s="97"/>
      <c r="AC251" s="97"/>
      <c r="AD251" s="97"/>
      <c r="AE251" s="97"/>
      <c r="AF251" s="860"/>
      <c r="AH251" s="3" t="s">
        <v>6994</v>
      </c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spans="1:45" ht="24.95" customHeight="1">
      <c r="A252" s="712"/>
      <c r="B252" s="95">
        <v>2</v>
      </c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74"/>
      <c r="N252" s="3"/>
      <c r="O252" s="18" t="s">
        <v>28</v>
      </c>
      <c r="P252" s="3"/>
      <c r="Q252" s="29" t="s">
        <v>584</v>
      </c>
      <c r="V252" s="98" t="str">
        <f t="shared" ref="V252:V259" si="153">IF(C251="","",C251)</f>
        <v>Préparer le verre et le poste de travail.</v>
      </c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H252" s="146" t="s">
        <v>214</v>
      </c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3"/>
    </row>
    <row r="253" spans="1:45" ht="24.95" customHeight="1">
      <c r="A253" s="712"/>
      <c r="B253" s="95">
        <v>3</v>
      </c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74"/>
      <c r="N253" s="3"/>
      <c r="O253" s="18" t="s">
        <v>32</v>
      </c>
      <c r="P253" s="3"/>
      <c r="Q253"/>
      <c r="R253" s="3"/>
      <c r="S253" s="3"/>
      <c r="T253" s="3"/>
      <c r="U253" s="3"/>
      <c r="V253" s="98" t="str">
        <f t="shared" si="153"/>
        <v/>
      </c>
      <c r="W253" s="98"/>
      <c r="X253" s="98"/>
      <c r="Y253" s="98"/>
      <c r="Z253" s="98"/>
      <c r="AA253" s="98"/>
      <c r="AB253" s="98"/>
      <c r="AC253" s="98"/>
      <c r="AD253" s="98"/>
      <c r="AE253" s="98"/>
      <c r="AF253" s="98"/>
      <c r="AH253" s="165" t="s">
        <v>219</v>
      </c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</row>
    <row r="254" spans="1:45" ht="24.95" customHeight="1">
      <c r="A254" s="712"/>
      <c r="B254" s="95">
        <v>4</v>
      </c>
      <c r="C254" s="96"/>
      <c r="D254" s="96"/>
      <c r="E254" s="96"/>
      <c r="F254" s="96"/>
      <c r="G254" s="96"/>
      <c r="H254" s="96"/>
      <c r="I254" s="96"/>
      <c r="J254" s="96"/>
      <c r="K254" s="96"/>
      <c r="L254" s="96"/>
      <c r="M254" s="74"/>
      <c r="N254" s="3"/>
      <c r="O254" s="18" t="s">
        <v>22</v>
      </c>
      <c r="P254" s="3"/>
      <c r="Q254" s="356" t="s">
        <v>564</v>
      </c>
      <c r="R254" s="3"/>
      <c r="S254" s="3"/>
      <c r="T254" s="3"/>
      <c r="U254" s="3"/>
      <c r="V254" s="98" t="str">
        <f t="shared" si="153"/>
        <v/>
      </c>
      <c r="W254" s="98"/>
      <c r="X254" s="98"/>
      <c r="Y254" s="98"/>
      <c r="Z254" s="98"/>
      <c r="AA254" s="98"/>
      <c r="AB254" s="98"/>
      <c r="AC254" s="98"/>
      <c r="AD254" s="98"/>
      <c r="AE254" s="98"/>
      <c r="AF254" s="98"/>
      <c r="AH254" s="166" t="s">
        <v>222</v>
      </c>
      <c r="AI254" s="167" t="s">
        <v>223</v>
      </c>
      <c r="AJ254" s="165"/>
      <c r="AK254" s="167" t="s">
        <v>224</v>
      </c>
      <c r="AL254" s="165"/>
      <c r="AM254" s="165"/>
      <c r="AN254" s="165"/>
      <c r="AO254" s="167" t="s">
        <v>225</v>
      </c>
      <c r="AP254" s="165"/>
      <c r="AQ254" s="165"/>
      <c r="AR254" s="165"/>
    </row>
    <row r="255" spans="1:45" ht="24.95" customHeight="1">
      <c r="A255" s="712"/>
      <c r="B255" s="95">
        <v>5</v>
      </c>
      <c r="C255" s="96"/>
      <c r="D255" s="96"/>
      <c r="E255" s="96"/>
      <c r="F255" s="96"/>
      <c r="G255" s="96"/>
      <c r="H255" s="96"/>
      <c r="I255" s="96"/>
      <c r="J255" s="96"/>
      <c r="K255" s="96"/>
      <c r="L255" s="96"/>
      <c r="M255" s="74"/>
      <c r="N255" s="3"/>
      <c r="O255" s="20" t="s">
        <v>39</v>
      </c>
      <c r="P255" s="3"/>
      <c r="Q255"/>
      <c r="R255" s="3"/>
      <c r="S255" s="3"/>
      <c r="T255" s="3"/>
      <c r="U255" s="3"/>
      <c r="V255" s="98" t="str">
        <f t="shared" si="153"/>
        <v/>
      </c>
      <c r="W255" s="98"/>
      <c r="X255" s="98"/>
      <c r="Y255" s="98"/>
      <c r="Z255" s="98"/>
      <c r="AA255" s="98"/>
      <c r="AB255" s="98"/>
      <c r="AC255" s="98"/>
      <c r="AD255" s="98"/>
      <c r="AE255" s="98"/>
      <c r="AF255" s="98"/>
      <c r="AH255" s="750" t="s">
        <v>156</v>
      </c>
      <c r="AI255" s="748" t="s">
        <v>230</v>
      </c>
      <c r="AJ255" s="748"/>
      <c r="AK255" s="749" t="s">
        <v>231</v>
      </c>
      <c r="AL255" s="749"/>
      <c r="AM255" s="749"/>
      <c r="AN255" s="749"/>
      <c r="AO255" s="746" t="s">
        <v>232</v>
      </c>
      <c r="AP255" s="746"/>
      <c r="AQ255" s="746"/>
      <c r="AR255" s="746"/>
    </row>
    <row r="256" spans="1:45" ht="24.95" customHeight="1">
      <c r="A256" s="712"/>
      <c r="B256" s="95">
        <v>6</v>
      </c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74"/>
      <c r="N256" s="3"/>
      <c r="O256" s="20" t="s">
        <v>42</v>
      </c>
      <c r="P256" s="3"/>
      <c r="Q256" s="356" t="s">
        <v>72</v>
      </c>
      <c r="R256" s="3"/>
      <c r="S256" s="3"/>
      <c r="T256" s="3"/>
      <c r="U256" s="3"/>
      <c r="V256" s="98" t="str">
        <f t="shared" si="153"/>
        <v/>
      </c>
      <c r="W256" s="98"/>
      <c r="X256" s="98"/>
      <c r="Y256" s="98"/>
      <c r="Z256" s="98"/>
      <c r="AA256" s="98"/>
      <c r="AB256" s="98"/>
      <c r="AC256" s="98"/>
      <c r="AD256" s="98"/>
      <c r="AE256" s="98"/>
      <c r="AF256" s="98"/>
      <c r="AH256" s="750"/>
      <c r="AI256" s="748"/>
      <c r="AJ256" s="748"/>
      <c r="AK256" s="749"/>
      <c r="AL256" s="749"/>
      <c r="AM256" s="749"/>
      <c r="AN256" s="749"/>
      <c r="AO256" s="746"/>
      <c r="AP256" s="746"/>
      <c r="AQ256" s="746"/>
      <c r="AR256" s="746"/>
    </row>
    <row r="257" spans="1:45" ht="24.95" customHeight="1">
      <c r="A257" s="712"/>
      <c r="B257" s="95">
        <v>7</v>
      </c>
      <c r="C257" s="96"/>
      <c r="D257" s="96"/>
      <c r="E257" s="96"/>
      <c r="F257" s="96"/>
      <c r="G257" s="96"/>
      <c r="H257" s="96"/>
      <c r="I257" s="96"/>
      <c r="J257" s="96"/>
      <c r="K257" s="96"/>
      <c r="L257" s="96"/>
      <c r="M257" s="74"/>
      <c r="N257" s="3"/>
      <c r="O257" s="20" t="s">
        <v>45</v>
      </c>
      <c r="P257" s="3"/>
      <c r="Q257"/>
      <c r="R257" s="3"/>
      <c r="S257" s="3"/>
      <c r="T257" s="3"/>
      <c r="U257" s="3"/>
      <c r="V257" s="98" t="str">
        <f t="shared" si="153"/>
        <v/>
      </c>
      <c r="W257" s="98"/>
      <c r="X257" s="98"/>
      <c r="Y257" s="98"/>
      <c r="Z257" s="98"/>
      <c r="AA257" s="98"/>
      <c r="AB257" s="98"/>
      <c r="AC257" s="98"/>
      <c r="AD257" s="98"/>
      <c r="AE257" s="98"/>
      <c r="AF257" s="98"/>
      <c r="AH257" s="747" t="s">
        <v>492</v>
      </c>
      <c r="AI257" s="748" t="s">
        <v>241</v>
      </c>
      <c r="AJ257" s="748"/>
      <c r="AK257" s="749" t="s">
        <v>242</v>
      </c>
      <c r="AL257" s="749"/>
      <c r="AM257" s="749"/>
      <c r="AN257" s="749"/>
      <c r="AO257" s="746" t="s">
        <v>243</v>
      </c>
      <c r="AP257" s="746"/>
      <c r="AQ257" s="746"/>
      <c r="AR257" s="746"/>
    </row>
    <row r="258" spans="1:45" ht="24.95" customHeight="1">
      <c r="A258" s="712"/>
      <c r="B258" s="95">
        <v>8</v>
      </c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74"/>
      <c r="N258" s="3"/>
      <c r="O258" s="20" t="s">
        <v>48</v>
      </c>
      <c r="P258" s="3"/>
      <c r="Q258" s="356" t="s">
        <v>602</v>
      </c>
      <c r="R258" s="3"/>
      <c r="S258" s="3"/>
      <c r="T258" s="3"/>
      <c r="U258" s="3"/>
      <c r="V258" s="98" t="str">
        <f t="shared" si="153"/>
        <v/>
      </c>
      <c r="W258" s="98"/>
      <c r="X258" s="98"/>
      <c r="Y258" s="98"/>
      <c r="Z258" s="98"/>
      <c r="AA258" s="98"/>
      <c r="AB258" s="98"/>
      <c r="AC258" s="98"/>
      <c r="AD258" s="98"/>
      <c r="AE258" s="98"/>
      <c r="AF258" s="98"/>
      <c r="AH258" s="747"/>
      <c r="AI258" s="748"/>
      <c r="AJ258" s="748"/>
      <c r="AK258" s="749"/>
      <c r="AL258" s="749"/>
      <c r="AM258" s="749"/>
      <c r="AN258" s="749"/>
      <c r="AO258" s="746"/>
      <c r="AP258" s="746"/>
      <c r="AQ258" s="746"/>
      <c r="AR258" s="746"/>
    </row>
    <row r="259" spans="1:45" ht="24.95" customHeight="1">
      <c r="A259" s="712"/>
      <c r="B259" s="101"/>
      <c r="C259" s="89"/>
      <c r="D259" s="89"/>
      <c r="E259" s="89"/>
      <c r="F259" s="89"/>
      <c r="G259" s="89"/>
      <c r="H259" s="89"/>
      <c r="I259" s="89"/>
      <c r="J259" s="89"/>
      <c r="K259" s="89"/>
      <c r="L259" s="89"/>
      <c r="M259" s="90"/>
      <c r="N259" s="3"/>
      <c r="O259" s="20" t="s">
        <v>50</v>
      </c>
      <c r="P259" s="3"/>
      <c r="Q259" s="183"/>
      <c r="R259" s="3"/>
      <c r="S259" s="3"/>
      <c r="T259" s="3"/>
      <c r="U259" s="3"/>
      <c r="V259" s="98" t="str">
        <f t="shared" si="153"/>
        <v/>
      </c>
      <c r="W259" s="98"/>
      <c r="X259" s="98"/>
      <c r="Y259" s="98"/>
      <c r="Z259" s="98"/>
      <c r="AA259" s="98"/>
      <c r="AB259" s="98"/>
      <c r="AC259" s="98"/>
      <c r="AD259" s="98"/>
      <c r="AE259" s="98"/>
      <c r="AF259" s="98"/>
      <c r="AH259" s="750" t="s">
        <v>6993</v>
      </c>
      <c r="AI259" s="748" t="s">
        <v>252</v>
      </c>
      <c r="AJ259" s="748"/>
      <c r="AK259" s="749" t="s">
        <v>253</v>
      </c>
      <c r="AL259" s="749"/>
      <c r="AM259" s="749"/>
      <c r="AN259" s="749"/>
      <c r="AO259" s="746" t="s">
        <v>254</v>
      </c>
      <c r="AP259" s="746"/>
      <c r="AQ259" s="746"/>
      <c r="AR259" s="746"/>
    </row>
    <row r="260" spans="1:45" ht="24.95" customHeight="1">
      <c r="A260" s="712"/>
      <c r="B260" s="10" t="s">
        <v>258</v>
      </c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92"/>
      <c r="N260" s="3"/>
      <c r="O260" s="20" t="s">
        <v>52</v>
      </c>
      <c r="P260" s="3"/>
      <c r="Q260" s="356" t="s">
        <v>609</v>
      </c>
      <c r="R260" s="3"/>
      <c r="S260" s="3"/>
      <c r="T260" s="3"/>
      <c r="U260" s="3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H260" s="750"/>
      <c r="AI260" s="748"/>
      <c r="AJ260" s="748"/>
      <c r="AK260" s="749"/>
      <c r="AL260" s="749"/>
      <c r="AM260" s="749"/>
      <c r="AN260" s="749"/>
      <c r="AO260" s="746"/>
      <c r="AP260" s="746"/>
      <c r="AQ260" s="746"/>
      <c r="AR260" s="746"/>
    </row>
    <row r="261" spans="1:45" ht="24.95" customHeight="1">
      <c r="A261" s="712"/>
      <c r="B261" s="102" t="s">
        <v>259</v>
      </c>
      <c r="C261" s="73" t="s">
        <v>6671</v>
      </c>
      <c r="D261" s="73"/>
      <c r="E261" s="73"/>
      <c r="F261" s="73"/>
      <c r="G261" s="73"/>
      <c r="H261" s="73"/>
      <c r="I261" s="73"/>
      <c r="J261" s="73"/>
      <c r="K261" s="73"/>
      <c r="L261" s="73"/>
      <c r="M261" s="74"/>
      <c r="N261" s="3"/>
      <c r="O261" s="21" t="s">
        <v>54</v>
      </c>
      <c r="P261" s="3"/>
      <c r="R261" s="3"/>
      <c r="S261" s="3"/>
      <c r="T261" s="3"/>
      <c r="U261" s="3"/>
      <c r="V261" s="103" t="s">
        <v>260</v>
      </c>
      <c r="W261" s="103" t="s">
        <v>209</v>
      </c>
      <c r="X261" s="103"/>
      <c r="Y261" s="103"/>
      <c r="Z261" s="103"/>
      <c r="AA261" s="103"/>
      <c r="AB261" s="103"/>
      <c r="AC261" s="103"/>
      <c r="AD261" s="103"/>
      <c r="AE261" s="103"/>
      <c r="AF261" s="103"/>
      <c r="AH261" s="171" t="s">
        <v>261</v>
      </c>
      <c r="AI261" s="172"/>
      <c r="AJ261" s="165"/>
      <c r="AK261" s="165"/>
      <c r="AL261" s="165"/>
      <c r="AM261" s="165"/>
      <c r="AN261" s="165"/>
      <c r="AO261" s="165"/>
      <c r="AP261" s="165"/>
      <c r="AQ261" s="165"/>
      <c r="AR261" s="165"/>
    </row>
    <row r="262" spans="1:45" ht="24.95" customHeight="1">
      <c r="A262" s="712"/>
      <c r="B262" s="102" t="s">
        <v>262</v>
      </c>
      <c r="C262" s="73" t="s">
        <v>263</v>
      </c>
      <c r="D262" s="73"/>
      <c r="E262" s="73"/>
      <c r="F262" s="73"/>
      <c r="G262" s="73"/>
      <c r="H262" s="73"/>
      <c r="I262" s="73"/>
      <c r="J262" s="73"/>
      <c r="K262" s="73"/>
      <c r="L262" s="73"/>
      <c r="M262" s="74"/>
      <c r="N262" s="3"/>
      <c r="O262" s="22" t="s">
        <v>56</v>
      </c>
      <c r="P262" s="3"/>
      <c r="Q262" s="3"/>
      <c r="R262" s="3"/>
      <c r="S262" s="3"/>
      <c r="T262" s="3"/>
      <c r="U262" s="3"/>
      <c r="V262" s="98" t="str">
        <f>IF(C261="","",C261)</f>
        <v>Exemple &gt; Tumbler (Old Fashioned)</v>
      </c>
      <c r="W262" s="98"/>
      <c r="X262" s="98"/>
      <c r="Y262" s="98"/>
      <c r="Z262" s="98"/>
      <c r="AA262" s="98"/>
      <c r="AB262" s="98"/>
      <c r="AC262" s="98"/>
      <c r="AD262" s="98"/>
      <c r="AE262" s="98"/>
      <c r="AF262" s="98"/>
      <c r="AH262" s="172" t="s">
        <v>264</v>
      </c>
      <c r="AI262" s="172"/>
      <c r="AJ262" s="165"/>
      <c r="AK262" s="172"/>
      <c r="AL262" s="165"/>
      <c r="AM262" s="165"/>
      <c r="AN262" s="165"/>
      <c r="AO262" s="172"/>
      <c r="AP262" s="165"/>
      <c r="AQ262" s="165"/>
      <c r="AR262" s="165"/>
    </row>
    <row r="263" spans="1:45" ht="24.95" customHeight="1">
      <c r="A263" s="712"/>
      <c r="B263" s="104" t="s">
        <v>267</v>
      </c>
      <c r="C263" s="105"/>
      <c r="D263" s="73"/>
      <c r="E263" s="73"/>
      <c r="F263" s="73"/>
      <c r="G263" s="73"/>
      <c r="H263" s="73"/>
      <c r="I263" s="73"/>
      <c r="J263" s="73"/>
      <c r="K263" s="73"/>
      <c r="L263" s="73"/>
      <c r="M263" s="74"/>
      <c r="N263" s="3"/>
      <c r="O263" s="34" t="s">
        <v>75</v>
      </c>
      <c r="P263" s="3"/>
      <c r="Q263" s="3"/>
      <c r="R263" s="3"/>
      <c r="S263" s="3"/>
      <c r="T263" s="3"/>
      <c r="U263" s="3"/>
      <c r="V263" s="98" t="str">
        <f>IF(C262="","",C262)</f>
        <v>Doseur / jigger ; cuillère à mélange ; bec verseur ; pince à glaçons</v>
      </c>
      <c r="W263" s="98"/>
      <c r="X263" s="98"/>
      <c r="Y263" s="98"/>
      <c r="Z263" s="98"/>
      <c r="AA263" s="98"/>
      <c r="AB263" s="98"/>
      <c r="AC263" s="98"/>
      <c r="AD263" s="98"/>
      <c r="AE263" s="98"/>
      <c r="AF263" s="98"/>
      <c r="AH263" s="172" t="s">
        <v>269</v>
      </c>
      <c r="AI263" s="172"/>
      <c r="AJ263" s="173"/>
      <c r="AK263" s="173"/>
      <c r="AL263" s="165"/>
      <c r="AM263" s="165"/>
      <c r="AN263" s="165"/>
      <c r="AO263" s="165"/>
      <c r="AP263" s="165"/>
      <c r="AQ263" s="165"/>
      <c r="AR263" s="165"/>
    </row>
    <row r="264" spans="1:45" ht="24.95" customHeight="1">
      <c r="A264" s="712"/>
      <c r="N264" s="3"/>
      <c r="O264" s="34" t="s">
        <v>85</v>
      </c>
      <c r="P264" s="3"/>
      <c r="Q264" s="3"/>
      <c r="R264" s="3"/>
      <c r="S264" s="3"/>
      <c r="T264" s="3"/>
      <c r="U264" s="3"/>
      <c r="V264" s="98" t="str">
        <f>IF(C263="","",C263)</f>
        <v/>
      </c>
      <c r="W264" s="98"/>
      <c r="X264" s="98"/>
      <c r="Y264" s="98"/>
      <c r="Z264" s="98"/>
      <c r="AA264" s="98"/>
      <c r="AB264" s="98"/>
      <c r="AC264" s="98"/>
      <c r="AD264" s="98"/>
      <c r="AE264" s="98"/>
      <c r="AF264" s="98"/>
      <c r="AH264" s="168" t="s">
        <v>274</v>
      </c>
      <c r="AI264" s="165"/>
      <c r="AJ264" s="173"/>
      <c r="AK264" s="173"/>
      <c r="AL264" s="165"/>
      <c r="AM264" s="165"/>
      <c r="AN264" s="165"/>
      <c r="AO264" s="165"/>
      <c r="AP264" s="165"/>
      <c r="AQ264" s="165"/>
      <c r="AR264" s="165"/>
    </row>
    <row r="265" spans="1:45" ht="24.95" customHeight="1">
      <c r="A265" s="713"/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7" t="s">
        <v>272</v>
      </c>
      <c r="N265" s="3"/>
      <c r="O265" s="34" t="s">
        <v>97</v>
      </c>
      <c r="P265" s="3"/>
      <c r="Q265" s="3"/>
      <c r="R265" s="3"/>
      <c r="S265" s="3"/>
      <c r="T265" s="3"/>
      <c r="U265" s="3"/>
      <c r="V265" s="108" t="s">
        <v>277</v>
      </c>
      <c r="W265" s="108"/>
      <c r="X265" s="108"/>
      <c r="Y265" s="108"/>
      <c r="Z265" s="108"/>
      <c r="AA265" s="108"/>
      <c r="AB265" s="108"/>
      <c r="AC265" s="108"/>
      <c r="AD265" s="108"/>
      <c r="AE265" s="108"/>
      <c r="AF265" s="109" t="s">
        <v>277</v>
      </c>
      <c r="AH265" s="168" t="s">
        <v>278</v>
      </c>
      <c r="AI265" s="172"/>
      <c r="AJ265" s="173"/>
      <c r="AK265" s="173"/>
      <c r="AL265" s="165"/>
      <c r="AM265" s="165"/>
      <c r="AN265" s="165"/>
      <c r="AO265" s="165"/>
      <c r="AP265" s="165"/>
      <c r="AQ265" s="165"/>
      <c r="AR265" s="165"/>
    </row>
    <row r="266" spans="1:45" ht="24.95" customHeight="1">
      <c r="A266" s="715"/>
      <c r="B266" s="716"/>
      <c r="C266" s="716"/>
      <c r="D266" s="716"/>
      <c r="E266" s="716"/>
      <c r="F266" s="716"/>
      <c r="G266" s="716"/>
      <c r="H266" s="716"/>
      <c r="I266" s="716"/>
      <c r="J266" s="716"/>
      <c r="K266" s="716"/>
      <c r="L266" s="716"/>
      <c r="M266" s="716"/>
      <c r="N266" s="717"/>
      <c r="O266" s="53" t="s">
        <v>104</v>
      </c>
      <c r="P266" s="717"/>
      <c r="Q266" s="3"/>
      <c r="R266" s="3"/>
      <c r="S266" s="3"/>
      <c r="T266" s="3"/>
      <c r="U266" s="719"/>
      <c r="V266" s="761"/>
      <c r="W266" s="761"/>
      <c r="X266" s="761"/>
      <c r="Y266" s="720"/>
      <c r="Z266" s="721"/>
      <c r="AA266" s="721"/>
      <c r="AB266" s="721"/>
      <c r="AC266" s="721"/>
      <c r="AD266" s="721"/>
      <c r="AE266" s="721"/>
      <c r="AF266" s="721"/>
      <c r="AG266" s="719"/>
      <c r="AH266" s="718"/>
      <c r="AI266" s="718"/>
      <c r="AJ266" s="718"/>
      <c r="AK266" s="718"/>
      <c r="AL266" s="718"/>
      <c r="AM266" s="722"/>
      <c r="AN266" s="722"/>
      <c r="AO266" s="722"/>
      <c r="AP266" s="722"/>
      <c r="AQ266" s="722"/>
      <c r="AR266" s="722"/>
      <c r="AS266" s="722"/>
    </row>
    <row r="267" spans="1:45" ht="24.95" customHeight="1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53" t="s">
        <v>112</v>
      </c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</row>
    <row r="268" spans="1:45" ht="24.95" customHeight="1">
      <c r="A268" s="149" t="s">
        <v>59</v>
      </c>
      <c r="B268" s="711" t="s">
        <v>60</v>
      </c>
      <c r="C268" s="711"/>
      <c r="D268" s="711"/>
      <c r="E268" s="711"/>
      <c r="F268" s="711"/>
      <c r="G268" s="711"/>
      <c r="H268" s="711"/>
      <c r="I268" s="711"/>
      <c r="J268" s="711"/>
      <c r="K268" s="711"/>
      <c r="L268" s="711"/>
      <c r="M268" s="711"/>
      <c r="N268" s="3"/>
      <c r="O268" s="53" t="s">
        <v>117</v>
      </c>
      <c r="P268" s="3"/>
      <c r="Q268" s="10" t="s">
        <v>61</v>
      </c>
      <c r="R268" s="10"/>
      <c r="S268" s="10"/>
      <c r="T268" s="10"/>
      <c r="V268" s="861" t="s">
        <v>62</v>
      </c>
      <c r="W268" s="861"/>
      <c r="X268" s="861"/>
      <c r="Y268" s="23" t="s">
        <v>63</v>
      </c>
      <c r="Z268" s="24"/>
      <c r="AA268" s="24"/>
      <c r="AB268" s="24"/>
      <c r="AC268" s="24"/>
      <c r="AD268" s="24"/>
      <c r="AE268" s="24"/>
      <c r="AF268" s="24"/>
      <c r="AH268" s="25" t="s">
        <v>64</v>
      </c>
      <c r="AI268" s="25"/>
      <c r="AJ268" s="25" t="s">
        <v>65</v>
      </c>
      <c r="AK268" s="25"/>
      <c r="AL268" s="25"/>
      <c r="AM268" s="26"/>
      <c r="AN268" s="26"/>
      <c r="AO268" s="26"/>
      <c r="AP268" s="26"/>
      <c r="AQ268" s="26"/>
      <c r="AR268" s="26"/>
      <c r="AS268" s="26"/>
    </row>
    <row r="269" spans="1:45" ht="24.95" customHeight="1">
      <c r="A269" s="712"/>
      <c r="B269" s="27" t="s">
        <v>67</v>
      </c>
      <c r="C269" s="28" t="s">
        <v>7263</v>
      </c>
      <c r="D269" s="28"/>
      <c r="E269" s="27" t="s">
        <v>69</v>
      </c>
      <c r="F269" s="355" t="s">
        <v>558</v>
      </c>
      <c r="G269" s="30"/>
      <c r="H269" s="27" t="s">
        <v>71</v>
      </c>
      <c r="I269" s="356" t="s">
        <v>564</v>
      </c>
      <c r="J269" s="30"/>
      <c r="K269" s="27" t="s">
        <v>73</v>
      </c>
      <c r="L269" s="32" t="s">
        <v>6669</v>
      </c>
      <c r="M269" s="33"/>
      <c r="N269" s="3"/>
      <c r="O269" s="53" t="s">
        <v>125</v>
      </c>
      <c r="P269" s="3"/>
      <c r="Q269" s="14" t="s">
        <v>27</v>
      </c>
      <c r="R269" s="35">
        <v>10</v>
      </c>
      <c r="S269" s="15" t="s">
        <v>76</v>
      </c>
      <c r="T269" s="15"/>
      <c r="V269" s="831" t="s">
        <v>77</v>
      </c>
      <c r="W269" s="862" t="str">
        <f>C269</f>
        <v>NOM DU COCKTAIL N°8</v>
      </c>
      <c r="X269" s="862"/>
      <c r="Y269" s="862"/>
      <c r="Z269" s="36" t="s">
        <v>78</v>
      </c>
      <c r="AA269" s="24" t="str">
        <f>F269</f>
        <v>Avec ou sans Alcool</v>
      </c>
      <c r="AB269" s="24"/>
      <c r="AC269" s="831" t="s">
        <v>71</v>
      </c>
      <c r="AD269" s="37" t="str">
        <f>I269</f>
        <v xml:space="preserve">Quand </v>
      </c>
      <c r="AE269" s="831" t="s">
        <v>73</v>
      </c>
      <c r="AF269" s="24" t="str">
        <f>L269</f>
        <v>TYPE DE COCKTAIL</v>
      </c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</row>
    <row r="270" spans="1:45" ht="24.95" customHeight="1">
      <c r="A270" s="712"/>
      <c r="B270" s="27" t="s">
        <v>80</v>
      </c>
      <c r="C270" s="38" t="s">
        <v>561</v>
      </c>
      <c r="D270" s="30"/>
      <c r="E270" s="27" t="s">
        <v>82</v>
      </c>
      <c r="F270" s="39" t="s">
        <v>83</v>
      </c>
      <c r="G270" s="30"/>
      <c r="H270" s="27" t="s">
        <v>84</v>
      </c>
      <c r="I270" s="40">
        <v>1</v>
      </c>
      <c r="J270" s="41" t="s">
        <v>83</v>
      </c>
      <c r="K270" s="41"/>
      <c r="L270" s="42" t="s">
        <v>76</v>
      </c>
      <c r="M270" s="33"/>
      <c r="N270" s="3"/>
      <c r="O270" s="53" t="s">
        <v>133</v>
      </c>
      <c r="Q270" s="14" t="s">
        <v>31</v>
      </c>
      <c r="R270" s="35"/>
      <c r="S270" s="15" t="s">
        <v>86</v>
      </c>
      <c r="T270" s="15"/>
      <c r="V270" s="44" t="s">
        <v>87</v>
      </c>
      <c r="W270" s="150" t="str">
        <f>R274</f>
        <v/>
      </c>
      <c r="X270" s="43" t="s">
        <v>88</v>
      </c>
      <c r="Y270" s="43"/>
      <c r="Z270" s="44" t="s">
        <v>89</v>
      </c>
      <c r="AA270" s="45">
        <f>R276</f>
        <v>0</v>
      </c>
      <c r="AB270" s="46" t="s">
        <v>90</v>
      </c>
      <c r="AC270" s="44" t="s">
        <v>91</v>
      </c>
      <c r="AD270" s="45">
        <f>R271</f>
        <v>10</v>
      </c>
      <c r="AE270" s="47" t="s">
        <v>92</v>
      </c>
      <c r="AF270" s="43" t="str">
        <f>R278</f>
        <v>NOMBRE DE COCKTAILS</v>
      </c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</row>
    <row r="271" spans="1:45" ht="24.95" customHeight="1">
      <c r="A271" s="712"/>
      <c r="B271" s="27" t="s">
        <v>94</v>
      </c>
      <c r="C271" s="151" t="s">
        <v>6670</v>
      </c>
      <c r="D271" s="30"/>
      <c r="E271" s="30"/>
      <c r="F271" s="30"/>
      <c r="G271" s="30"/>
      <c r="H271" s="27" t="s">
        <v>96</v>
      </c>
      <c r="I271" s="48">
        <v>15</v>
      </c>
      <c r="J271" s="152" t="s">
        <v>32</v>
      </c>
      <c r="K271" s="30"/>
      <c r="L271" s="30"/>
      <c r="M271" s="33"/>
      <c r="N271" s="3"/>
      <c r="O271" s="53" t="s">
        <v>151</v>
      </c>
      <c r="Q271" s="14" t="s">
        <v>98</v>
      </c>
      <c r="R271" s="49">
        <f>IF(AND(ISNUMBER(R270),R270&gt;0),IFERROR(R270*1000/R272,0),IF(AND(ISNUMBER(R269),R269&gt;0,ISNUMBER(I270),I270&gt;0),R269/I270,1))</f>
        <v>10</v>
      </c>
      <c r="S271" s="50" t="s">
        <v>99</v>
      </c>
      <c r="T271" s="50"/>
      <c r="V271" s="44" t="s">
        <v>100</v>
      </c>
      <c r="W271" s="51">
        <f>IF(R272="","",R272/10)</f>
        <v>0</v>
      </c>
      <c r="X271" s="46" t="s">
        <v>32</v>
      </c>
      <c r="Y271" s="43"/>
      <c r="Z271" s="44" t="s">
        <v>101</v>
      </c>
      <c r="AA271" s="45" t="str">
        <f>R273</f>
        <v/>
      </c>
      <c r="AB271" s="46" t="s">
        <v>32</v>
      </c>
      <c r="AC271" s="44" t="s">
        <v>102</v>
      </c>
      <c r="AD271" s="45">
        <f>R277</f>
        <v>10</v>
      </c>
      <c r="AE271" s="51"/>
      <c r="AF271" s="4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</row>
    <row r="272" spans="1:45" ht="24.95" customHeight="1">
      <c r="A272" s="712"/>
      <c r="B272" s="27"/>
      <c r="C272" s="52" t="str">
        <f>UPPER(LEFT(C269,1)) &amp; " . " &amp; UPPER(LEFT(C269,1)) &amp; LOWER(MID(C269,2,999)) &amp; " . " &amp; UPPER(LEFT(F269,1)) &amp; LOWER(MID(F269,2,999)) &amp; " . " &amp; UPPER(LEFT(I269,1)) &amp; LOWER(MID(I269,2,999)) &amp; " . " &amp; "Verre " &amp; UPPER(LEFT(F270,1)) &amp; LOWER(MID(F270,2,999)) &amp; IF(LEFT(L269,1)=UPPER(LEFT(L269,1)),".","") &amp; UPPER(LEFT(L269,1)) &amp; LOWER(MID(L269,2,999))&amp;"  couleur"&amp;" "&amp;C270&amp;"  intensité"&amp;" "&amp;C271</f>
        <v>N . Nom du cocktail n°8 . Avec ou sans alcool . Quand  . Verre Tumbler (old fashioned).Type de cocktail  couleur Couleur dominante à coller  intensité ****  précisez</v>
      </c>
      <c r="D272" s="52"/>
      <c r="E272" s="52"/>
      <c r="F272" s="52"/>
      <c r="G272" s="52"/>
      <c r="H272" s="52"/>
      <c r="I272" s="52"/>
      <c r="J272" s="52"/>
      <c r="K272" s="52"/>
      <c r="L272" s="30"/>
      <c r="M272" s="33"/>
      <c r="N272" s="3"/>
      <c r="O272" s="53" t="s">
        <v>157</v>
      </c>
      <c r="Q272" s="14" t="s">
        <v>105</v>
      </c>
      <c r="R272" s="49">
        <f>SUMIF(AJ279:AJ285,"VOLUME",AL279:AL285)</f>
        <v>0</v>
      </c>
      <c r="S272" s="50" t="s">
        <v>22</v>
      </c>
      <c r="T272" s="50"/>
      <c r="V272" s="44" t="s">
        <v>96</v>
      </c>
      <c r="W272" s="51">
        <f>I271</f>
        <v>15</v>
      </c>
      <c r="X272" s="46" t="str">
        <f>J271</f>
        <v>cl</v>
      </c>
      <c r="Y272" s="43"/>
      <c r="Z272" s="44" t="s">
        <v>82</v>
      </c>
      <c r="AA272" s="54" t="str">
        <f>F270</f>
        <v>Tumbler (Old Fashioned)</v>
      </c>
      <c r="AB272" s="43"/>
      <c r="AC272" s="44" t="s">
        <v>106</v>
      </c>
      <c r="AD272" s="45">
        <f>R279</f>
        <v>25</v>
      </c>
      <c r="AE272" s="46" t="s">
        <v>32</v>
      </c>
      <c r="AF272" s="4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</row>
    <row r="273" spans="1:45" ht="24.95" customHeight="1">
      <c r="A273" s="712"/>
      <c r="B273" s="27" t="s">
        <v>110</v>
      </c>
      <c r="C273" s="55" t="s">
        <v>579</v>
      </c>
      <c r="D273" s="55"/>
      <c r="E273" s="154"/>
      <c r="F273" s="154"/>
      <c r="G273" s="154"/>
      <c r="H273" s="154"/>
      <c r="I273" s="154"/>
      <c r="J273" s="154"/>
      <c r="K273" s="154"/>
      <c r="L273" s="30"/>
      <c r="M273" s="33"/>
      <c r="N273" s="3"/>
      <c r="O273" s="53" t="s">
        <v>177</v>
      </c>
      <c r="Q273" s="14" t="s">
        <v>113</v>
      </c>
      <c r="R273" s="49" t="str">
        <f>IF(OR(R272=0,NOT(ISNUMBER(I270)),I270&lt;=0),"",R272/I270/10)</f>
        <v/>
      </c>
      <c r="S273" s="50" t="s">
        <v>32</v>
      </c>
      <c r="T273" s="50"/>
      <c r="V273" s="44" t="s">
        <v>114</v>
      </c>
      <c r="W273" s="51" t="str">
        <f>IF(I271="","",IF(R279="","⚠ À CONTRÔLER",IF(I271&lt;=R279,"✔ OK","❌ DÉPASSE CAPACITÉ")))</f>
        <v>✔ OK</v>
      </c>
      <c r="X273" s="43"/>
      <c r="Y273" s="43"/>
      <c r="Z273" s="44"/>
      <c r="AA273" s="56"/>
      <c r="AB273" s="43"/>
      <c r="AC273" s="43"/>
      <c r="AD273" s="46"/>
      <c r="AE273" s="46"/>
      <c r="AF273" s="4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</row>
    <row r="274" spans="1:45" ht="24.95" customHeight="1">
      <c r="A274" s="712"/>
      <c r="B274" s="30"/>
      <c r="C274" s="30"/>
      <c r="D274" s="30"/>
      <c r="E274" s="30"/>
      <c r="F274" s="30"/>
      <c r="G274" s="30"/>
      <c r="H274" s="206"/>
      <c r="I274" s="30"/>
      <c r="J274" s="30"/>
      <c r="K274" s="30"/>
      <c r="L274" s="30"/>
      <c r="M274" s="33"/>
      <c r="N274" s="3"/>
      <c r="O274" s="53" t="s">
        <v>181</v>
      </c>
      <c r="Q274" s="14" t="s">
        <v>118</v>
      </c>
      <c r="R274" s="155" t="str">
        <f>IF(AN286=0,"",SUM(AQ279:AQ285)/AN286*100)</f>
        <v/>
      </c>
      <c r="S274" s="50" t="s">
        <v>88</v>
      </c>
      <c r="T274" s="50"/>
      <c r="V274" s="44" t="s">
        <v>110</v>
      </c>
      <c r="W274" s="46" t="str">
        <f>C273</f>
        <v>Description</v>
      </c>
      <c r="X274" s="43"/>
      <c r="Y274" s="43"/>
      <c r="Z274" s="44"/>
      <c r="AA274" s="56"/>
      <c r="AB274" s="43"/>
      <c r="AC274" s="43"/>
      <c r="AD274" s="46"/>
      <c r="AE274" s="46"/>
      <c r="AF274" s="4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</row>
    <row r="275" spans="1:45" ht="24.95" customHeight="1">
      <c r="A275" s="712"/>
      <c r="B275" s="57" t="s">
        <v>121</v>
      </c>
      <c r="C275" s="58" t="s">
        <v>568</v>
      </c>
      <c r="D275" s="58"/>
      <c r="E275" s="59"/>
      <c r="F275" s="57" t="s">
        <v>123</v>
      </c>
      <c r="G275" s="58"/>
      <c r="H275" s="60"/>
      <c r="I275" s="60"/>
      <c r="J275" s="61"/>
      <c r="K275" s="61"/>
      <c r="L275" s="61"/>
      <c r="M275" s="62"/>
      <c r="N275" s="3"/>
      <c r="O275" s="53" t="s">
        <v>185</v>
      </c>
      <c r="Q275" s="14" t="s">
        <v>126</v>
      </c>
      <c r="R275" s="156">
        <f>SUM(AR279:AR285)</f>
        <v>0</v>
      </c>
      <c r="S275" s="50" t="s">
        <v>90</v>
      </c>
      <c r="T275" s="50"/>
      <c r="V275" s="44" t="s">
        <v>121</v>
      </c>
      <c r="W275" s="46" t="str">
        <f>C275</f>
        <v>VOUS</v>
      </c>
      <c r="X275" s="43"/>
      <c r="Y275" s="43"/>
      <c r="Z275" s="44" t="s">
        <v>94</v>
      </c>
      <c r="AA275" s="54" t="str">
        <f>C271</f>
        <v>****  précisez</v>
      </c>
      <c r="AB275" s="43"/>
      <c r="AC275" s="759" t="str">
        <f>UPPER(LEFT(C269,1))&amp;" . "&amp;UPPER(LEFT(C269,1))&amp;LOWER(MID(C269,2,999))&amp;" . "&amp;UPPER(LEFT(F269,1))&amp;LOWER(MID(F269,2,999))&amp;" . "&amp;UPPER(LEFT(I269,1))&amp;LOWER(MID(I269,2,999))&amp;" . "&amp;"Verre "&amp;UPPER(LEFT(F270,1))&amp;LOWER(MID(F270,2,999))&amp;IF(LEFT(L269,1)=UPPER(LEFT(L269,1)),".","")&amp;UPPER(LEFT(L269,1))&amp;LOWER(MID(L269,2,999))&amp;"  couleur "&amp;C270&amp;"  intensité "&amp;C271</f>
        <v>N . Nom du cocktail n°8 . Avec ou sans alcool . Quand  . Verre Tumbler (old fashioned).Type de cocktail  couleur Couleur dominante à coller  intensité ****  précisez</v>
      </c>
      <c r="AD275" s="759"/>
      <c r="AE275" s="759"/>
      <c r="AF275" s="759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</row>
    <row r="276" spans="1:45" ht="24.95" customHeight="1">
      <c r="A276" s="712"/>
      <c r="B276" s="10" t="s">
        <v>131</v>
      </c>
      <c r="C276" s="10" t="s">
        <v>132</v>
      </c>
      <c r="D276" s="10"/>
      <c r="E276" s="10"/>
      <c r="F276" s="10"/>
      <c r="G276" s="10"/>
      <c r="H276" s="10"/>
      <c r="I276" s="10"/>
      <c r="J276" s="11" t="str">
        <f>IF(COUNTIF(C278:C284,"*~**")+COUNTIF(C278:C284,"*~?*")=0,"",IF(COUNTIF(C278:C284,"*~**")&gt;0,COUNTIF(C278:C284,"*~**")&amp;" allergène"&amp;IF(COUNTIF(C278:C284,"*~**")&gt;1,"s","")&amp;" repéré"&amp;IF(COUNTIF(C278:C284,"*~**")&gt;1,"s","")&amp;" par *","")&amp;IF(AND(COUNTIF(C278:C284,"*~**")&gt;0,COUNTIF(C278:C284,"*~?*")&gt;0)," | ","")&amp;IF(COUNTIF(C278:C284,"*~?*")&gt;0,COUNTIF(C278:C284,"*~?*")&amp;" produit"&amp;IF(COUNTIF(C278:C284,"*~?*")&gt;1,"s","")&amp;" à vérifier par ?",""))</f>
        <v/>
      </c>
      <c r="K276" s="10"/>
      <c r="L276" s="10"/>
      <c r="M276" s="63"/>
      <c r="N276" s="3"/>
      <c r="O276" s="53" t="s">
        <v>189</v>
      </c>
      <c r="Q276" s="14" t="s">
        <v>134</v>
      </c>
      <c r="R276" s="156">
        <f>IF(OR(R275="",R277="",R277=0),"",R275/R277)</f>
        <v>0</v>
      </c>
      <c r="S276" s="50" t="s">
        <v>135</v>
      </c>
      <c r="T276" s="50"/>
      <c r="V276" s="852" t="s">
        <v>136</v>
      </c>
      <c r="W276" s="853">
        <f>R275</f>
        <v>0</v>
      </c>
      <c r="X276" s="854" t="s">
        <v>90</v>
      </c>
      <c r="Y276" s="43"/>
      <c r="Z276" s="44" t="s">
        <v>137</v>
      </c>
      <c r="AA276" s="54" t="str">
        <f>C269</f>
        <v>NOM DU COCKTAIL N°8</v>
      </c>
      <c r="AB276" s="43"/>
      <c r="AC276" s="759"/>
      <c r="AD276" s="759"/>
      <c r="AE276" s="759"/>
      <c r="AF276" s="759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</row>
    <row r="277" spans="1:45" ht="24.95" customHeight="1">
      <c r="A277" s="712"/>
      <c r="B277" s="66">
        <v>0</v>
      </c>
      <c r="C277" s="64" t="s">
        <v>141</v>
      </c>
      <c r="D277" s="65" t="s">
        <v>142</v>
      </c>
      <c r="E277" s="64" t="s">
        <v>9</v>
      </c>
      <c r="F277" s="66" t="s">
        <v>143</v>
      </c>
      <c r="G277" s="66" t="s">
        <v>144</v>
      </c>
      <c r="H277" s="66" t="s">
        <v>145</v>
      </c>
      <c r="I277" s="67" t="s">
        <v>146</v>
      </c>
      <c r="J277" s="67" t="s">
        <v>847</v>
      </c>
      <c r="K277" s="67" t="s">
        <v>148</v>
      </c>
      <c r="L277" s="67" t="s">
        <v>149</v>
      </c>
      <c r="M277" s="68" t="s">
        <v>150</v>
      </c>
      <c r="N277" s="3"/>
      <c r="O277" s="53" t="s">
        <v>192</v>
      </c>
      <c r="Q277" s="14" t="s">
        <v>152</v>
      </c>
      <c r="R277" s="49">
        <f>IF(AND(ISNUMBER(R270),R270&gt;0,ISNUMBER(I271),I271&gt;0),R270*1000/(I271*10),IF(AND(ISNUMBER(R269),R269&gt;0),R269,""))</f>
        <v>10</v>
      </c>
      <c r="S277" s="50" t="s">
        <v>76</v>
      </c>
      <c r="T277" s="50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H277" s="25" t="s">
        <v>153</v>
      </c>
      <c r="AI277" s="25"/>
      <c r="AJ277" s="25" t="s">
        <v>490</v>
      </c>
      <c r="AK277" s="25"/>
      <c r="AL277" s="25"/>
      <c r="AM277" s="25"/>
      <c r="AN277" s="26"/>
      <c r="AO277" s="26"/>
      <c r="AP277" s="26"/>
      <c r="AQ277" s="26"/>
      <c r="AR277" s="26"/>
      <c r="AS277" s="26"/>
    </row>
    <row r="278" spans="1:45" ht="24.95" customHeight="1">
      <c r="A278" s="712"/>
      <c r="B278" s="158">
        <v>1</v>
      </c>
      <c r="C278" s="70"/>
      <c r="D278" s="79"/>
      <c r="E278" s="3"/>
      <c r="F278" s="72"/>
      <c r="G278" s="159"/>
      <c r="H278" s="160"/>
      <c r="I278" s="161"/>
      <c r="J278" s="73" t="s">
        <v>849</v>
      </c>
      <c r="K278" s="73"/>
      <c r="L278" s="73"/>
      <c r="M278" s="74"/>
      <c r="N278" s="3"/>
      <c r="O278" s="53" t="s">
        <v>195</v>
      </c>
      <c r="Q278" s="14" t="s">
        <v>158</v>
      </c>
      <c r="R278" s="75" t="str">
        <f>IF(AND(ISNUMBER(R270),R270&gt;0),"VOLUME TOTAL",IF(AND(ISNUMBER(R269),R269&gt;0),"NOMBRE DE COCKTAILS","RÉFÉRENCE"))</f>
        <v>NOMBRE DE COCKTAILS</v>
      </c>
      <c r="S278" s="50"/>
      <c r="T278" s="50"/>
      <c r="V278" s="831" t="s">
        <v>159</v>
      </c>
      <c r="W278" s="36" t="s">
        <v>160</v>
      </c>
      <c r="X278" s="76" t="s">
        <v>161</v>
      </c>
      <c r="Y278" s="835" t="s">
        <v>162</v>
      </c>
      <c r="Z278" s="838" t="s">
        <v>163</v>
      </c>
      <c r="AA278" s="36" t="s">
        <v>164</v>
      </c>
      <c r="AB278" s="36" t="s">
        <v>9</v>
      </c>
      <c r="AC278" s="841" t="s">
        <v>165</v>
      </c>
      <c r="AD278" s="296" t="s">
        <v>166</v>
      </c>
      <c r="AE278" s="36" t="s">
        <v>146</v>
      </c>
      <c r="AF278" s="833" t="s">
        <v>167</v>
      </c>
      <c r="AH278" s="77" t="s">
        <v>168</v>
      </c>
      <c r="AI278" s="78" t="s">
        <v>159</v>
      </c>
      <c r="AJ278" s="77" t="s">
        <v>10</v>
      </c>
      <c r="AK278" s="77" t="s">
        <v>169</v>
      </c>
      <c r="AL278" s="77" t="s">
        <v>170</v>
      </c>
      <c r="AM278" s="77" t="s">
        <v>91</v>
      </c>
      <c r="AN278" s="78" t="s">
        <v>161</v>
      </c>
      <c r="AO278" s="77" t="s">
        <v>171</v>
      </c>
      <c r="AP278" s="77" t="s">
        <v>172</v>
      </c>
      <c r="AQ278" s="77" t="s">
        <v>165</v>
      </c>
      <c r="AR278" s="77" t="s">
        <v>167</v>
      </c>
      <c r="AS278" s="77" t="s">
        <v>173</v>
      </c>
    </row>
    <row r="279" spans="1:45" ht="24.95" customHeight="1">
      <c r="A279" s="712"/>
      <c r="B279" s="162">
        <v>2</v>
      </c>
      <c r="C279" s="70"/>
      <c r="D279" s="79"/>
      <c r="E279" s="3"/>
      <c r="F279" s="72"/>
      <c r="G279" s="159"/>
      <c r="H279" s="160"/>
      <c r="I279" s="161"/>
      <c r="J279" s="73" t="s">
        <v>6989</v>
      </c>
      <c r="K279" s="73"/>
      <c r="L279" s="73"/>
      <c r="M279" s="74"/>
      <c r="N279" s="3"/>
      <c r="O279" s="53" t="s">
        <v>199</v>
      </c>
      <c r="Q279" s="14" t="s">
        <v>35</v>
      </c>
      <c r="R279" s="35">
        <f>IFERROR(VLOOKUP(F270,$BB$5:$BC$40,2,FALSE),"")</f>
        <v>25</v>
      </c>
      <c r="S279" s="50" t="s">
        <v>32</v>
      </c>
      <c r="T279" s="50"/>
      <c r="V279" s="846" t="str">
        <f t="shared" ref="V279:V285" si="154">IF(AI279="","",AI279)</f>
        <v/>
      </c>
      <c r="W279" s="848" t="str">
        <f t="shared" ref="W279:W285" si="155">IF(C278="","",IF(H278="QS","QS",D278&amp;" "&amp;E278))</f>
        <v/>
      </c>
      <c r="X279" s="81" t="str">
        <f t="shared" ref="X279:X285" si="156">IF(AN279="","",AN279)</f>
        <v/>
      </c>
      <c r="Y279" s="836" t="str">
        <f t="shared" ref="Y279:Y285" si="157">IF(C278="","",IF(H278="QS","Qt. suffisante",IF(AN279="","",IF(AJ279="VOLUME",IF(AN279&gt;=1000,TEXT(AO279,"0.00")&amp;" "&amp;AP279,IF(AN279&gt;=10,TEXT(AO279,"0.0")&amp;" "&amp;AP279&amp;" ► "&amp;TEXT(AN279/1000,"0.000")&amp;" L",TEXT(AO279,"0.0")&amp;" "&amp;AP279)),IF(AJ279="MASSE",TEXT(AO279,"0.00")&amp;" "&amp;AP279,AO279&amp;" "&amp;AP279)))))</f>
        <v/>
      </c>
      <c r="Z279" s="839" t="str">
        <f>IF(OR(C278="",AJ279&lt;&gt;"VOLUME",AN286=0),"","≈ "&amp;TEXT(ROUND(AN279/AN286*10*2,0)/2,"0.0")&amp;"/10")</f>
        <v/>
      </c>
      <c r="AA279" s="82" t="str">
        <f t="shared" ref="AA279:AA285" si="158">IF(AJ279="AUTRE",AO279,"")</f>
        <v/>
      </c>
      <c r="AB279" s="83" t="str">
        <f t="shared" ref="AB279:AB285" si="159">IF(C278="","",AP279)</f>
        <v/>
      </c>
      <c r="AC279" s="842" t="str">
        <f t="shared" ref="AC279:AC285" si="160">IF(C278="","",AQ279)</f>
        <v/>
      </c>
      <c r="AD279" s="163" t="str">
        <f t="shared" ref="AD279:AD285" si="161">IF(C278="","",IF(ISNUMBER(F278),F278,0))</f>
        <v/>
      </c>
      <c r="AE279" s="164" t="str">
        <f t="shared" ref="AE279:AE285" si="162">IF(C278="","",IF(ISNUMBER(I278),I278,""))</f>
        <v/>
      </c>
      <c r="AF279" s="855" t="str">
        <f t="shared" ref="AF279:AF285" si="163">IF(C278="","",AR279)</f>
        <v/>
      </c>
      <c r="AH279" s="84" t="str">
        <f t="shared" ref="AH279:AH285" si="164">IF(C278="","",B278)</f>
        <v/>
      </c>
      <c r="AI279" s="85" t="str">
        <f t="shared" ref="AI279:AI285" si="165">IF(C278="","",C278)</f>
        <v/>
      </c>
      <c r="AJ279" s="84" t="str">
        <f t="shared" ref="AJ279:AJ285" si="166">IF(C278="","",IFERROR(VLOOKUP(E278,$AU$5:$AY$121,2,FALSE),"UNITÉ ?"))</f>
        <v/>
      </c>
      <c r="AK279" s="84" t="str">
        <f t="shared" ref="AK279:AK285" si="167">IF(C278="","",IFERROR(VLOOKUP(E278,$AU$5:$AY$121,3,FALSE),""))</f>
        <v/>
      </c>
      <c r="AL279" s="84" t="str">
        <f t="shared" ref="AL279:AL285" si="168">IF(OR(C278="",H278="QS",NOT(ISNUMBER(D278))),"",D278*AK279)</f>
        <v/>
      </c>
      <c r="AM279" s="84" t="str">
        <f>IF(C278="","",R271)</f>
        <v/>
      </c>
      <c r="AN279" s="84" t="str">
        <f t="shared" ref="AN279:AN285" si="169">IF(C278="","",IF(H278="QS","",IF(AL279="","",IF(OR(H278="F",H278="FIXE"),AL279,AL279*AM279))))</f>
        <v/>
      </c>
      <c r="AO279" s="84" t="str">
        <f t="shared" ref="AO279:AO285" si="170">IF(C278="","",IF(H278="QS","",IF(AN279="","",IF(AJ279="VOLUME",IF(AN279&gt;=1000,ROUND(AN279/1000,2),IF(AN279&gt;=10,ROUND(AN279/10,1),ROUND(AN279,1))),IF(AJ279="MASSE",IF(AN279&gt;=1000,ROUND(AN279/1000,2),ROUND(AN279,0)),ROUND(AN279,2))))))</f>
        <v/>
      </c>
      <c r="AP279" s="84" t="str">
        <f t="shared" ref="AP279:AP285" si="171">IF(C278="","",IF(H278="QS","",IF(AN279="","",IF(AJ279="VOLUME",IF(AN279&gt;=1000,"L",IF(AN279&gt;=10,"cl","ml")),IF(AJ279="MASSE",IF(AN279&gt;=1000,"Kg","g"),IFERROR(VLOOKUP(E278,$AU$5:$AY$121,5,FALSE),E278))))))</f>
        <v/>
      </c>
      <c r="AQ279" s="84" t="str">
        <f t="shared" ref="AQ279:AQ285" si="172">IF(C278="","",IF(OR(AJ279&lt;&gt;"VOLUME",NOT(ISNUMBER(F278)),AN279=""),0,AN279*F278/100))</f>
        <v/>
      </c>
      <c r="AR279" s="84" t="str">
        <f t="shared" ref="AR279:AR285" si="173">IF(C278="","",IF(H278="QS",0,IF(NOT(ISNUMBER(I278)),0,IF(OR(AJ279="VOLUME",AJ279="MASSE"),AN279/1000*I278,AN279*I278))))</f>
        <v/>
      </c>
      <c r="AS279" s="84" t="str">
        <f t="shared" ref="AS279:AS285" si="174">IF(C278="","",IF(H278="QS","OK",IF(NOT(ISNUMBER(D278)),"QUANTITÉ ?",IF(E278="","UNITÉ ?",IF(AJ279="UNITÉ ?","UNITÉ ?",IF(AND(H278&lt;&gt;"",H278&lt;&gt;"PROP",H278&lt;&gt;"F",H278&lt;&gt;"FIXE",H278&lt;&gt;"QS"),"RÈGLE ?","OK"))))))</f>
        <v/>
      </c>
    </row>
    <row r="280" spans="1:45" ht="24.95" customHeight="1">
      <c r="A280" s="712"/>
      <c r="B280" s="158">
        <v>3</v>
      </c>
      <c r="C280" s="70"/>
      <c r="D280" s="79"/>
      <c r="E280" s="3"/>
      <c r="F280" s="72"/>
      <c r="G280" s="159"/>
      <c r="H280" s="160"/>
      <c r="I280" s="161"/>
      <c r="J280" s="73" t="s">
        <v>6990</v>
      </c>
      <c r="K280" s="73"/>
      <c r="L280" s="73"/>
      <c r="M280" s="74"/>
      <c r="N280" s="3"/>
      <c r="O280" s="53" t="s">
        <v>202</v>
      </c>
      <c r="V280" s="846" t="str">
        <f t="shared" si="154"/>
        <v/>
      </c>
      <c r="W280" s="848" t="str">
        <f t="shared" si="155"/>
        <v/>
      </c>
      <c r="X280" s="81" t="str">
        <f t="shared" si="156"/>
        <v/>
      </c>
      <c r="Y280" s="836" t="str">
        <f t="shared" si="157"/>
        <v/>
      </c>
      <c r="Z280" s="839" t="str">
        <f>IF(OR(C279="",AJ280&lt;&gt;"VOLUME",AN286=0),"","≈ "&amp;TEXT(ROUND(AN280/AN286*10*2,0)/2,"0.0")&amp;"/10")</f>
        <v/>
      </c>
      <c r="AA280" s="82" t="str">
        <f t="shared" si="158"/>
        <v/>
      </c>
      <c r="AB280" s="83" t="str">
        <f t="shared" si="159"/>
        <v/>
      </c>
      <c r="AC280" s="842" t="str">
        <f t="shared" si="160"/>
        <v/>
      </c>
      <c r="AD280" s="163" t="str">
        <f t="shared" si="161"/>
        <v/>
      </c>
      <c r="AE280" s="164" t="str">
        <f t="shared" si="162"/>
        <v/>
      </c>
      <c r="AF280" s="855" t="str">
        <f t="shared" si="163"/>
        <v/>
      </c>
      <c r="AH280" s="84" t="str">
        <f t="shared" si="164"/>
        <v/>
      </c>
      <c r="AI280" s="85" t="str">
        <f t="shared" si="165"/>
        <v/>
      </c>
      <c r="AJ280" s="84" t="str">
        <f t="shared" si="166"/>
        <v/>
      </c>
      <c r="AK280" s="84" t="str">
        <f t="shared" si="167"/>
        <v/>
      </c>
      <c r="AL280" s="84" t="str">
        <f t="shared" si="168"/>
        <v/>
      </c>
      <c r="AM280" s="84" t="str">
        <f>IF(C279="","",R271)</f>
        <v/>
      </c>
      <c r="AN280" s="84" t="str">
        <f t="shared" si="169"/>
        <v/>
      </c>
      <c r="AO280" s="84" t="str">
        <f t="shared" si="170"/>
        <v/>
      </c>
      <c r="AP280" s="84" t="str">
        <f t="shared" si="171"/>
        <v/>
      </c>
      <c r="AQ280" s="84" t="str">
        <f t="shared" si="172"/>
        <v/>
      </c>
      <c r="AR280" s="84" t="str">
        <f t="shared" si="173"/>
        <v/>
      </c>
      <c r="AS280" s="84" t="str">
        <f t="shared" si="174"/>
        <v/>
      </c>
    </row>
    <row r="281" spans="1:45" ht="24.95" customHeight="1">
      <c r="A281" s="712"/>
      <c r="B281" s="162">
        <v>4</v>
      </c>
      <c r="C281" s="70"/>
      <c r="D281" s="79"/>
      <c r="E281" s="3"/>
      <c r="F281" s="72"/>
      <c r="G281" s="159"/>
      <c r="H281" s="160"/>
      <c r="I281" s="161"/>
      <c r="J281" s="73" t="s">
        <v>6991</v>
      </c>
      <c r="K281" s="73"/>
      <c r="L281" s="73"/>
      <c r="M281" s="74"/>
      <c r="N281" s="3"/>
      <c r="O281" s="53" t="s">
        <v>207</v>
      </c>
      <c r="Q281" s="744" t="s">
        <v>566</v>
      </c>
      <c r="V281" s="846" t="str">
        <f t="shared" si="154"/>
        <v/>
      </c>
      <c r="W281" s="848" t="str">
        <f t="shared" si="155"/>
        <v/>
      </c>
      <c r="X281" s="81" t="str">
        <f t="shared" si="156"/>
        <v/>
      </c>
      <c r="Y281" s="836" t="str">
        <f t="shared" si="157"/>
        <v/>
      </c>
      <c r="Z281" s="839" t="str">
        <f>IF(OR(C280="",AJ281&lt;&gt;"VOLUME",AN286=0),"","≈ "&amp;TEXT(ROUND(AN281/AN286*10*2,0)/2,"0.0")&amp;"/10")</f>
        <v/>
      </c>
      <c r="AA281" s="82" t="str">
        <f t="shared" si="158"/>
        <v/>
      </c>
      <c r="AB281" s="83" t="str">
        <f t="shared" si="159"/>
        <v/>
      </c>
      <c r="AC281" s="842" t="str">
        <f t="shared" si="160"/>
        <v/>
      </c>
      <c r="AD281" s="163" t="str">
        <f t="shared" si="161"/>
        <v/>
      </c>
      <c r="AE281" s="164" t="str">
        <f t="shared" si="162"/>
        <v/>
      </c>
      <c r="AF281" s="855" t="str">
        <f t="shared" si="163"/>
        <v/>
      </c>
      <c r="AH281" s="84" t="str">
        <f t="shared" si="164"/>
        <v/>
      </c>
      <c r="AI281" s="85" t="str">
        <f t="shared" si="165"/>
        <v/>
      </c>
      <c r="AJ281" s="84" t="str">
        <f t="shared" si="166"/>
        <v/>
      </c>
      <c r="AK281" s="84" t="str">
        <f t="shared" si="167"/>
        <v/>
      </c>
      <c r="AL281" s="84" t="str">
        <f t="shared" si="168"/>
        <v/>
      </c>
      <c r="AM281" s="84" t="str">
        <f>IF(C280="","",R271)</f>
        <v/>
      </c>
      <c r="AN281" s="84" t="str">
        <f t="shared" si="169"/>
        <v/>
      </c>
      <c r="AO281" s="84" t="str">
        <f t="shared" si="170"/>
        <v/>
      </c>
      <c r="AP281" s="84" t="str">
        <f t="shared" si="171"/>
        <v/>
      </c>
      <c r="AQ281" s="84" t="str">
        <f t="shared" si="172"/>
        <v/>
      </c>
      <c r="AR281" s="84" t="str">
        <f t="shared" si="173"/>
        <v/>
      </c>
      <c r="AS281" s="84" t="str">
        <f t="shared" si="174"/>
        <v/>
      </c>
    </row>
    <row r="282" spans="1:45" ht="24.95" customHeight="1">
      <c r="A282" s="712"/>
      <c r="B282" s="158">
        <v>5</v>
      </c>
      <c r="C282" s="70"/>
      <c r="D282" s="79"/>
      <c r="E282" s="3"/>
      <c r="F282" s="72"/>
      <c r="G282" s="159"/>
      <c r="H282" s="160"/>
      <c r="I282" s="161"/>
      <c r="J282" s="73" t="s">
        <v>6992</v>
      </c>
      <c r="K282" s="73"/>
      <c r="L282" s="73"/>
      <c r="M282" s="74"/>
      <c r="N282" s="3"/>
      <c r="O282" s="53" t="s">
        <v>213</v>
      </c>
      <c r="Q282" s="744"/>
      <c r="V282" s="846" t="str">
        <f t="shared" si="154"/>
        <v/>
      </c>
      <c r="W282" s="848" t="str">
        <f t="shared" si="155"/>
        <v/>
      </c>
      <c r="X282" s="81" t="str">
        <f t="shared" si="156"/>
        <v/>
      </c>
      <c r="Y282" s="836" t="str">
        <f t="shared" si="157"/>
        <v/>
      </c>
      <c r="Z282" s="839" t="str">
        <f>IF(OR(C281="",AJ282&lt;&gt;"VOLUME",AN286=0),"","≈ "&amp;TEXT(ROUND(AN282/AN286*10*2,0)/2,"0.0")&amp;"/10")</f>
        <v/>
      </c>
      <c r="AA282" s="82" t="str">
        <f t="shared" si="158"/>
        <v/>
      </c>
      <c r="AB282" s="83" t="str">
        <f t="shared" si="159"/>
        <v/>
      </c>
      <c r="AC282" s="842" t="str">
        <f t="shared" si="160"/>
        <v/>
      </c>
      <c r="AD282" s="163" t="str">
        <f t="shared" si="161"/>
        <v/>
      </c>
      <c r="AE282" s="164" t="str">
        <f t="shared" si="162"/>
        <v/>
      </c>
      <c r="AF282" s="855" t="str">
        <f t="shared" si="163"/>
        <v/>
      </c>
      <c r="AH282" s="84" t="str">
        <f t="shared" si="164"/>
        <v/>
      </c>
      <c r="AI282" s="85" t="str">
        <f t="shared" si="165"/>
        <v/>
      </c>
      <c r="AJ282" s="84" t="str">
        <f t="shared" si="166"/>
        <v/>
      </c>
      <c r="AK282" s="84" t="str">
        <f t="shared" si="167"/>
        <v/>
      </c>
      <c r="AL282" s="84" t="str">
        <f t="shared" si="168"/>
        <v/>
      </c>
      <c r="AM282" s="84" t="str">
        <f>IF(C281="","",R271)</f>
        <v/>
      </c>
      <c r="AN282" s="84" t="str">
        <f t="shared" si="169"/>
        <v/>
      </c>
      <c r="AO282" s="84" t="str">
        <f t="shared" si="170"/>
        <v/>
      </c>
      <c r="AP282" s="84" t="str">
        <f t="shared" si="171"/>
        <v/>
      </c>
      <c r="AQ282" s="84" t="str">
        <f t="shared" si="172"/>
        <v/>
      </c>
      <c r="AR282" s="84" t="str">
        <f t="shared" si="173"/>
        <v/>
      </c>
      <c r="AS282" s="84" t="str">
        <f t="shared" si="174"/>
        <v/>
      </c>
    </row>
    <row r="283" spans="1:45" ht="24.95" customHeight="1">
      <c r="A283" s="712"/>
      <c r="B283" s="162"/>
      <c r="C283" s="70"/>
      <c r="D283" s="79"/>
      <c r="E283" s="3"/>
      <c r="F283" s="72"/>
      <c r="G283" s="159"/>
      <c r="H283" s="160"/>
      <c r="I283" s="161"/>
      <c r="J283" s="73" t="s">
        <v>243</v>
      </c>
      <c r="K283" s="73"/>
      <c r="L283" s="73"/>
      <c r="M283" s="74"/>
      <c r="N283" s="3"/>
      <c r="O283" s="53" t="s">
        <v>218</v>
      </c>
      <c r="V283" s="846" t="str">
        <f t="shared" si="154"/>
        <v/>
      </c>
      <c r="W283" s="848" t="str">
        <f t="shared" si="155"/>
        <v/>
      </c>
      <c r="X283" s="81" t="str">
        <f t="shared" si="156"/>
        <v/>
      </c>
      <c r="Y283" s="836" t="str">
        <f t="shared" si="157"/>
        <v/>
      </c>
      <c r="Z283" s="839" t="str">
        <f>IF(OR(C282="",AJ283&lt;&gt;"VOLUME",AN286=0),"","≈ "&amp;TEXT(ROUND(AN283/AN286*10*2,0)/2,"0.0")&amp;"/10")</f>
        <v/>
      </c>
      <c r="AA283" s="80" t="str">
        <f t="shared" si="158"/>
        <v/>
      </c>
      <c r="AB283" s="83" t="str">
        <f t="shared" si="159"/>
        <v/>
      </c>
      <c r="AC283" s="842" t="str">
        <f t="shared" si="160"/>
        <v/>
      </c>
      <c r="AD283" s="163" t="str">
        <f t="shared" si="161"/>
        <v/>
      </c>
      <c r="AE283" s="164" t="str">
        <f t="shared" si="162"/>
        <v/>
      </c>
      <c r="AF283" s="855" t="str">
        <f t="shared" si="163"/>
        <v/>
      </c>
      <c r="AH283" s="84" t="str">
        <f t="shared" si="164"/>
        <v/>
      </c>
      <c r="AI283" s="85" t="str">
        <f t="shared" si="165"/>
        <v/>
      </c>
      <c r="AJ283" s="84" t="str">
        <f t="shared" si="166"/>
        <v/>
      </c>
      <c r="AK283" s="84" t="str">
        <f t="shared" si="167"/>
        <v/>
      </c>
      <c r="AL283" s="84" t="str">
        <f t="shared" si="168"/>
        <v/>
      </c>
      <c r="AM283" s="84" t="str">
        <f>IF(C282="","",R271)</f>
        <v/>
      </c>
      <c r="AN283" s="84" t="str">
        <f t="shared" si="169"/>
        <v/>
      </c>
      <c r="AO283" s="84" t="str">
        <f t="shared" si="170"/>
        <v/>
      </c>
      <c r="AP283" s="84" t="str">
        <f t="shared" si="171"/>
        <v/>
      </c>
      <c r="AQ283" s="84" t="str">
        <f t="shared" si="172"/>
        <v/>
      </c>
      <c r="AR283" s="84" t="str">
        <f t="shared" si="173"/>
        <v/>
      </c>
      <c r="AS283" s="84" t="str">
        <f t="shared" si="174"/>
        <v/>
      </c>
    </row>
    <row r="284" spans="1:45" ht="24.95" customHeight="1">
      <c r="A284" s="712"/>
      <c r="B284" s="158"/>
      <c r="C284" s="70"/>
      <c r="D284" s="79"/>
      <c r="E284" s="3"/>
      <c r="F284" s="72"/>
      <c r="G284" s="159"/>
      <c r="H284" s="160"/>
      <c r="I284" s="161"/>
      <c r="J284" s="73" t="s">
        <v>6995</v>
      </c>
      <c r="K284" s="73"/>
      <c r="L284" s="73"/>
      <c r="M284" s="74"/>
      <c r="N284" s="3"/>
      <c r="O284" s="53" t="s">
        <v>184</v>
      </c>
      <c r="Q284" s="355" t="s">
        <v>558</v>
      </c>
      <c r="V284" s="847" t="str">
        <f t="shared" si="154"/>
        <v/>
      </c>
      <c r="W284" s="849" t="str">
        <f t="shared" si="155"/>
        <v/>
      </c>
      <c r="X284" s="86" t="str">
        <f t="shared" si="156"/>
        <v/>
      </c>
      <c r="Y284" s="837" t="str">
        <f t="shared" si="157"/>
        <v/>
      </c>
      <c r="Z284" s="840" t="str">
        <f>IF(OR(C283="",AJ284&lt;&gt;"VOLUME",AN286=0),"","≈ "&amp;TEXT(ROUND(AN284/AN286*10*2,0)/2,"0.0")&amp;"/10")</f>
        <v/>
      </c>
      <c r="AA284" s="87" t="str">
        <f t="shared" si="158"/>
        <v/>
      </c>
      <c r="AB284" s="88" t="str">
        <f t="shared" si="159"/>
        <v/>
      </c>
      <c r="AC284" s="843" t="str">
        <f t="shared" si="160"/>
        <v/>
      </c>
      <c r="AD284" s="88" t="str">
        <f t="shared" si="161"/>
        <v/>
      </c>
      <c r="AE284" s="88" t="str">
        <f t="shared" si="162"/>
        <v/>
      </c>
      <c r="AF284" s="834" t="str">
        <f t="shared" si="163"/>
        <v/>
      </c>
      <c r="AH284" s="84" t="str">
        <f t="shared" si="164"/>
        <v/>
      </c>
      <c r="AI284" s="85" t="str">
        <f t="shared" si="165"/>
        <v/>
      </c>
      <c r="AJ284" s="84" t="str">
        <f t="shared" si="166"/>
        <v/>
      </c>
      <c r="AK284" s="84" t="str">
        <f t="shared" si="167"/>
        <v/>
      </c>
      <c r="AL284" s="84" t="str">
        <f t="shared" si="168"/>
        <v/>
      </c>
      <c r="AM284" s="84" t="str">
        <f>IF(C283="","",R271)</f>
        <v/>
      </c>
      <c r="AN284" s="84" t="str">
        <f t="shared" si="169"/>
        <v/>
      </c>
      <c r="AO284" s="84" t="str">
        <f t="shared" si="170"/>
        <v/>
      </c>
      <c r="AP284" s="84" t="str">
        <f t="shared" si="171"/>
        <v/>
      </c>
      <c r="AQ284" s="84" t="str">
        <f t="shared" si="172"/>
        <v/>
      </c>
      <c r="AR284" s="84" t="str">
        <f t="shared" si="173"/>
        <v/>
      </c>
      <c r="AS284" s="84" t="str">
        <f t="shared" si="174"/>
        <v/>
      </c>
    </row>
    <row r="285" spans="1:45" ht="24.95" customHeight="1">
      <c r="A285" s="712"/>
      <c r="B285" s="14" t="s">
        <v>44</v>
      </c>
      <c r="C285" s="146" t="s">
        <v>198</v>
      </c>
      <c r="D285" s="89"/>
      <c r="E285" s="89"/>
      <c r="F285" s="89"/>
      <c r="G285" s="89"/>
      <c r="H285" s="89"/>
      <c r="I285" s="89"/>
      <c r="J285" s="89" t="s">
        <v>6996</v>
      </c>
      <c r="K285" s="89"/>
      <c r="L285" s="89"/>
      <c r="M285" s="90"/>
      <c r="N285" s="3"/>
      <c r="O285" s="53" t="s">
        <v>229</v>
      </c>
      <c r="Q285"/>
      <c r="V285" s="847" t="str">
        <f t="shared" si="154"/>
        <v/>
      </c>
      <c r="W285" s="849" t="str">
        <f t="shared" si="155"/>
        <v/>
      </c>
      <c r="X285" s="86" t="str">
        <f t="shared" si="156"/>
        <v/>
      </c>
      <c r="Y285" s="837" t="str">
        <f t="shared" si="157"/>
        <v/>
      </c>
      <c r="Z285" s="840" t="str">
        <f>IF(OR(C284="",AJ285&lt;&gt;"VOLUME",AN286=0),"","≈ "&amp;TEXT(ROUND(AN285/AN286*10*2,0)/2,"0.0")&amp;"/10")</f>
        <v/>
      </c>
      <c r="AA285" s="87" t="str">
        <f t="shared" si="158"/>
        <v/>
      </c>
      <c r="AB285" s="88" t="str">
        <f t="shared" si="159"/>
        <v/>
      </c>
      <c r="AC285" s="843" t="str">
        <f t="shared" si="160"/>
        <v/>
      </c>
      <c r="AD285" s="88" t="str">
        <f t="shared" si="161"/>
        <v/>
      </c>
      <c r="AE285" s="88" t="str">
        <f t="shared" si="162"/>
        <v/>
      </c>
      <c r="AF285" s="834" t="str">
        <f t="shared" si="163"/>
        <v/>
      </c>
      <c r="AH285" s="84" t="str">
        <f t="shared" si="164"/>
        <v/>
      </c>
      <c r="AI285" s="85" t="str">
        <f t="shared" si="165"/>
        <v/>
      </c>
      <c r="AJ285" s="84" t="str">
        <f t="shared" si="166"/>
        <v/>
      </c>
      <c r="AK285" s="84" t="str">
        <f t="shared" si="167"/>
        <v/>
      </c>
      <c r="AL285" s="84" t="str">
        <f t="shared" si="168"/>
        <v/>
      </c>
      <c r="AM285" s="84" t="str">
        <f>IF(C284="","",R271)</f>
        <v/>
      </c>
      <c r="AN285" s="84" t="str">
        <f t="shared" si="169"/>
        <v/>
      </c>
      <c r="AO285" s="84" t="str">
        <f t="shared" si="170"/>
        <v/>
      </c>
      <c r="AP285" s="84" t="str">
        <f t="shared" si="171"/>
        <v/>
      </c>
      <c r="AQ285" s="84" t="str">
        <f t="shared" si="172"/>
        <v/>
      </c>
      <c r="AR285" s="84" t="str">
        <f t="shared" si="173"/>
        <v/>
      </c>
      <c r="AS285" s="84" t="str">
        <f t="shared" si="174"/>
        <v/>
      </c>
    </row>
    <row r="286" spans="1:45" ht="24.95" customHeight="1">
      <c r="A286" s="712"/>
      <c r="B286" s="91">
        <v>0</v>
      </c>
      <c r="C286" s="10" t="s">
        <v>491</v>
      </c>
      <c r="D286" s="11"/>
      <c r="E286" s="11"/>
      <c r="F286" s="11"/>
      <c r="G286" s="11"/>
      <c r="H286" s="11"/>
      <c r="I286" s="11"/>
      <c r="J286" s="11"/>
      <c r="K286" s="11"/>
      <c r="L286" s="11"/>
      <c r="M286" s="92"/>
      <c r="N286" s="3"/>
      <c r="O286" s="53" t="s">
        <v>236</v>
      </c>
      <c r="Q286" s="29" t="s">
        <v>70</v>
      </c>
      <c r="V286" s="851" t="s">
        <v>203</v>
      </c>
      <c r="W286" s="93"/>
      <c r="X286" s="845">
        <f>AN286</f>
        <v>0</v>
      </c>
      <c r="Y286" s="835" t="str">
        <f>IF(AN286=0,"",TEXT(AN286/1000,"0.000")&amp;" L")</f>
        <v/>
      </c>
      <c r="Z286" s="857"/>
      <c r="AA286" s="93"/>
      <c r="AB286" s="93"/>
      <c r="AC286" s="832">
        <f>AQ286</f>
        <v>0</v>
      </c>
      <c r="AD286" s="844" t="str">
        <f>IF(AN286=0,"",AQ286/AN286*100)</f>
        <v/>
      </c>
      <c r="AE286" s="93"/>
      <c r="AF286" s="856">
        <f>AR286</f>
        <v>0</v>
      </c>
      <c r="AH286" s="94" t="s">
        <v>203</v>
      </c>
      <c r="AI286" s="94"/>
      <c r="AJ286" s="94"/>
      <c r="AK286" s="94"/>
      <c r="AL286" s="94"/>
      <c r="AM286" s="94"/>
      <c r="AN286" s="94">
        <f>SUMIF(AJ279:AJ285,"VOLUME",AN279:AN285)</f>
        <v>0</v>
      </c>
      <c r="AO286" s="94"/>
      <c r="AP286" s="94"/>
      <c r="AQ286" s="94">
        <f>SUM(AQ279:AQ285)</f>
        <v>0</v>
      </c>
      <c r="AR286" s="94">
        <f>SUM(AR279:AR285)</f>
        <v>0</v>
      </c>
      <c r="AS286" s="94" t="str">
        <f>IF(COUNTIF(AS279:AS285,"&lt;&gt;OK")-COUNTBLANK(AS279:AS285)=0,"OK","À CONTRÔLER")</f>
        <v>OK</v>
      </c>
    </row>
    <row r="287" spans="1:45" ht="24.95" customHeight="1">
      <c r="A287" s="712"/>
      <c r="B287" s="95">
        <v>1</v>
      </c>
      <c r="C287" s="96" t="s">
        <v>206</v>
      </c>
      <c r="D287" s="96"/>
      <c r="E287" s="96"/>
      <c r="F287" s="96"/>
      <c r="G287" s="96"/>
      <c r="H287" s="96"/>
      <c r="I287" s="96"/>
      <c r="J287" s="96"/>
      <c r="K287" s="96"/>
      <c r="L287" s="96"/>
      <c r="M287" s="74"/>
      <c r="N287" s="3"/>
      <c r="O287" s="99" t="s">
        <v>240</v>
      </c>
      <c r="Q287" s="184"/>
      <c r="V287" s="832" t="s">
        <v>208</v>
      </c>
      <c r="W287" s="19" t="s">
        <v>209</v>
      </c>
      <c r="X287" s="36"/>
      <c r="Y287" s="858"/>
      <c r="Z287" s="859"/>
      <c r="AA287" s="97"/>
      <c r="AB287" s="97"/>
      <c r="AC287" s="97"/>
      <c r="AD287" s="97"/>
      <c r="AE287" s="97"/>
      <c r="AF287" s="860"/>
      <c r="AH287" s="3" t="s">
        <v>6994</v>
      </c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spans="1:45" ht="24.95" customHeight="1">
      <c r="A288" s="712"/>
      <c r="B288" s="95">
        <v>2</v>
      </c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74"/>
      <c r="N288" s="3"/>
      <c r="O288" s="100" t="s">
        <v>248</v>
      </c>
      <c r="P288" s="3"/>
      <c r="Q288" s="29" t="s">
        <v>584</v>
      </c>
      <c r="V288" s="98" t="str">
        <f t="shared" ref="V288:V295" si="175">IF(C287="","",C287)</f>
        <v>Préparer le verre et le poste de travail.</v>
      </c>
      <c r="W288" s="98"/>
      <c r="X288" s="98"/>
      <c r="Y288" s="98"/>
      <c r="Z288" s="98"/>
      <c r="AA288" s="98"/>
      <c r="AB288" s="98"/>
      <c r="AC288" s="98"/>
      <c r="AD288" s="98"/>
      <c r="AE288" s="98"/>
      <c r="AF288" s="98"/>
      <c r="AH288" s="146" t="s">
        <v>214</v>
      </c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3"/>
    </row>
    <row r="289" spans="1:45" ht="24.95" customHeight="1">
      <c r="A289" s="712"/>
      <c r="B289" s="95">
        <v>3</v>
      </c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74"/>
      <c r="N289" s="3"/>
      <c r="O289" s="39" t="s">
        <v>251</v>
      </c>
      <c r="P289" s="3"/>
      <c r="Q289"/>
      <c r="R289" s="3"/>
      <c r="S289" s="3"/>
      <c r="T289" s="3"/>
      <c r="U289" s="3"/>
      <c r="V289" s="98" t="str">
        <f t="shared" si="175"/>
        <v/>
      </c>
      <c r="W289" s="98"/>
      <c r="X289" s="98"/>
      <c r="Y289" s="98"/>
      <c r="Z289" s="98"/>
      <c r="AA289" s="98"/>
      <c r="AB289" s="98"/>
      <c r="AC289" s="98"/>
      <c r="AD289" s="98"/>
      <c r="AE289" s="98"/>
      <c r="AF289" s="98"/>
      <c r="AH289" s="165" t="s">
        <v>219</v>
      </c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</row>
    <row r="290" spans="1:45" ht="24.95" customHeight="1">
      <c r="A290" s="712"/>
      <c r="B290" s="95">
        <v>4</v>
      </c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74"/>
      <c r="N290" s="3"/>
      <c r="O290" s="39" t="s">
        <v>255</v>
      </c>
      <c r="P290" s="3"/>
      <c r="Q290" s="356" t="s">
        <v>564</v>
      </c>
      <c r="R290" s="3"/>
      <c r="S290" s="3"/>
      <c r="T290" s="3"/>
      <c r="U290" s="3"/>
      <c r="V290" s="98" t="str">
        <f t="shared" si="175"/>
        <v/>
      </c>
      <c r="W290" s="98"/>
      <c r="X290" s="98"/>
      <c r="Y290" s="98"/>
      <c r="Z290" s="98"/>
      <c r="AA290" s="98"/>
      <c r="AB290" s="98"/>
      <c r="AC290" s="98"/>
      <c r="AD290" s="98"/>
      <c r="AE290" s="98"/>
      <c r="AF290" s="98"/>
      <c r="AH290" s="166" t="s">
        <v>222</v>
      </c>
      <c r="AI290" s="167" t="s">
        <v>223</v>
      </c>
      <c r="AJ290" s="165"/>
      <c r="AK290" s="167" t="s">
        <v>224</v>
      </c>
      <c r="AL290" s="165"/>
      <c r="AM290" s="165"/>
      <c r="AN290" s="165"/>
      <c r="AO290" s="167" t="s">
        <v>225</v>
      </c>
      <c r="AP290" s="165"/>
      <c r="AQ290" s="165"/>
      <c r="AR290" s="165"/>
    </row>
    <row r="291" spans="1:45" ht="24.95" customHeight="1">
      <c r="A291" s="712"/>
      <c r="B291" s="95">
        <v>5</v>
      </c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74"/>
      <c r="N291" s="3"/>
      <c r="O291" s="39" t="s">
        <v>244</v>
      </c>
      <c r="P291" s="3"/>
      <c r="Q291"/>
      <c r="R291" s="3"/>
      <c r="S291" s="3"/>
      <c r="T291" s="3"/>
      <c r="U291" s="3"/>
      <c r="V291" s="98" t="str">
        <f t="shared" si="175"/>
        <v/>
      </c>
      <c r="W291" s="98"/>
      <c r="X291" s="98"/>
      <c r="Y291" s="98"/>
      <c r="Z291" s="98"/>
      <c r="AA291" s="98"/>
      <c r="AB291" s="98"/>
      <c r="AC291" s="98"/>
      <c r="AD291" s="98"/>
      <c r="AE291" s="98"/>
      <c r="AF291" s="98"/>
      <c r="AH291" s="750" t="s">
        <v>156</v>
      </c>
      <c r="AI291" s="748" t="s">
        <v>230</v>
      </c>
      <c r="AJ291" s="748"/>
      <c r="AK291" s="749" t="s">
        <v>231</v>
      </c>
      <c r="AL291" s="749"/>
      <c r="AM291" s="749"/>
      <c r="AN291" s="749"/>
      <c r="AO291" s="746" t="s">
        <v>232</v>
      </c>
      <c r="AP291" s="746"/>
      <c r="AQ291" s="746"/>
      <c r="AR291" s="746"/>
    </row>
    <row r="292" spans="1:45" ht="24.95" customHeight="1">
      <c r="A292" s="712"/>
      <c r="B292" s="95">
        <v>6</v>
      </c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74"/>
      <c r="N292" s="3"/>
      <c r="O292" s="39" t="s">
        <v>24</v>
      </c>
      <c r="P292" s="3"/>
      <c r="Q292" s="356" t="s">
        <v>72</v>
      </c>
      <c r="R292" s="3"/>
      <c r="S292" s="3"/>
      <c r="T292" s="3"/>
      <c r="U292" s="3"/>
      <c r="V292" s="98" t="str">
        <f t="shared" si="175"/>
        <v/>
      </c>
      <c r="W292" s="98"/>
      <c r="X292" s="98"/>
      <c r="Y292" s="98"/>
      <c r="Z292" s="98"/>
      <c r="AA292" s="98"/>
      <c r="AB292" s="98"/>
      <c r="AC292" s="98"/>
      <c r="AD292" s="98"/>
      <c r="AE292" s="98"/>
      <c r="AF292" s="98"/>
      <c r="AH292" s="750"/>
      <c r="AI292" s="748"/>
      <c r="AJ292" s="748"/>
      <c r="AK292" s="749"/>
      <c r="AL292" s="749"/>
      <c r="AM292" s="749"/>
      <c r="AN292" s="749"/>
      <c r="AO292" s="746"/>
      <c r="AP292" s="746"/>
      <c r="AQ292" s="746"/>
      <c r="AR292" s="746"/>
    </row>
    <row r="293" spans="1:45" ht="24.95" customHeight="1">
      <c r="A293" s="712"/>
      <c r="B293" s="95">
        <v>7</v>
      </c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74"/>
      <c r="N293" s="3"/>
      <c r="O293" s="39" t="s">
        <v>268</v>
      </c>
      <c r="P293" s="3"/>
      <c r="Q293"/>
      <c r="R293" s="3"/>
      <c r="S293" s="3"/>
      <c r="T293" s="3"/>
      <c r="U293" s="3"/>
      <c r="V293" s="98" t="str">
        <f t="shared" si="175"/>
        <v/>
      </c>
      <c r="W293" s="98"/>
      <c r="X293" s="98"/>
      <c r="Y293" s="98"/>
      <c r="Z293" s="98"/>
      <c r="AA293" s="98"/>
      <c r="AB293" s="98"/>
      <c r="AC293" s="98"/>
      <c r="AD293" s="98"/>
      <c r="AE293" s="98"/>
      <c r="AF293" s="98"/>
      <c r="AH293" s="747" t="s">
        <v>492</v>
      </c>
      <c r="AI293" s="748" t="s">
        <v>241</v>
      </c>
      <c r="AJ293" s="748"/>
      <c r="AK293" s="749" t="s">
        <v>242</v>
      </c>
      <c r="AL293" s="749"/>
      <c r="AM293" s="749"/>
      <c r="AN293" s="749"/>
      <c r="AO293" s="746" t="s">
        <v>243</v>
      </c>
      <c r="AP293" s="746"/>
      <c r="AQ293" s="746"/>
      <c r="AR293" s="746"/>
    </row>
    <row r="294" spans="1:45" ht="24.95" customHeight="1">
      <c r="A294" s="712"/>
      <c r="B294" s="95">
        <v>8</v>
      </c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74"/>
      <c r="N294" s="3"/>
      <c r="O294" s="39" t="s">
        <v>273</v>
      </c>
      <c r="P294" s="3"/>
      <c r="Q294" s="356" t="s">
        <v>602</v>
      </c>
      <c r="R294" s="3"/>
      <c r="S294" s="3"/>
      <c r="T294" s="3"/>
      <c r="U294" s="3"/>
      <c r="V294" s="98" t="str">
        <f t="shared" si="175"/>
        <v/>
      </c>
      <c r="W294" s="98"/>
      <c r="X294" s="98"/>
      <c r="Y294" s="98"/>
      <c r="Z294" s="98"/>
      <c r="AA294" s="98"/>
      <c r="AB294" s="98"/>
      <c r="AC294" s="98"/>
      <c r="AD294" s="98"/>
      <c r="AE294" s="98"/>
      <c r="AF294" s="98"/>
      <c r="AH294" s="747"/>
      <c r="AI294" s="748"/>
      <c r="AJ294" s="748"/>
      <c r="AK294" s="749"/>
      <c r="AL294" s="749"/>
      <c r="AM294" s="749"/>
      <c r="AN294" s="749"/>
      <c r="AO294" s="746"/>
      <c r="AP294" s="746"/>
      <c r="AQ294" s="746"/>
      <c r="AR294" s="746"/>
    </row>
    <row r="295" spans="1:45" ht="24.95" customHeight="1">
      <c r="A295" s="712"/>
      <c r="B295" s="101"/>
      <c r="C295" s="89"/>
      <c r="D295" s="89"/>
      <c r="E295" s="89"/>
      <c r="F295" s="89"/>
      <c r="G295" s="89"/>
      <c r="H295" s="89"/>
      <c r="I295" s="89"/>
      <c r="J295" s="89"/>
      <c r="K295" s="89"/>
      <c r="L295" s="89"/>
      <c r="M295" s="90"/>
      <c r="N295" s="3"/>
      <c r="O295" s="39" t="s">
        <v>29</v>
      </c>
      <c r="P295" s="3"/>
      <c r="Q295" s="183"/>
      <c r="R295" s="3"/>
      <c r="S295" s="3"/>
      <c r="T295" s="3"/>
      <c r="U295" s="3"/>
      <c r="V295" s="98" t="str">
        <f t="shared" si="175"/>
        <v/>
      </c>
      <c r="W295" s="98"/>
      <c r="X295" s="98"/>
      <c r="Y295" s="98"/>
      <c r="Z295" s="98"/>
      <c r="AA295" s="98"/>
      <c r="AB295" s="98"/>
      <c r="AC295" s="98"/>
      <c r="AD295" s="98"/>
      <c r="AE295" s="98"/>
      <c r="AF295" s="98"/>
      <c r="AH295" s="750" t="s">
        <v>6993</v>
      </c>
      <c r="AI295" s="748" t="s">
        <v>252</v>
      </c>
      <c r="AJ295" s="748"/>
      <c r="AK295" s="749" t="s">
        <v>253</v>
      </c>
      <c r="AL295" s="749"/>
      <c r="AM295" s="749"/>
      <c r="AN295" s="749"/>
      <c r="AO295" s="746" t="s">
        <v>254</v>
      </c>
      <c r="AP295" s="746"/>
      <c r="AQ295" s="746"/>
      <c r="AR295" s="746"/>
    </row>
    <row r="296" spans="1:45" ht="24.95" customHeight="1">
      <c r="A296" s="712"/>
      <c r="B296" s="10" t="s">
        <v>258</v>
      </c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92"/>
      <c r="N296" s="3"/>
      <c r="O296" s="39" t="s">
        <v>280</v>
      </c>
      <c r="P296" s="3"/>
      <c r="Q296" s="356" t="s">
        <v>609</v>
      </c>
      <c r="R296" s="3"/>
      <c r="S296" s="3"/>
      <c r="T296" s="3"/>
      <c r="U296" s="3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H296" s="750"/>
      <c r="AI296" s="748"/>
      <c r="AJ296" s="748"/>
      <c r="AK296" s="749"/>
      <c r="AL296" s="749"/>
      <c r="AM296" s="749"/>
      <c r="AN296" s="749"/>
      <c r="AO296" s="746"/>
      <c r="AP296" s="746"/>
      <c r="AQ296" s="746"/>
      <c r="AR296" s="746"/>
    </row>
    <row r="297" spans="1:45" ht="24.95" customHeight="1">
      <c r="A297" s="712"/>
      <c r="B297" s="102" t="s">
        <v>259</v>
      </c>
      <c r="C297" s="73" t="s">
        <v>6671</v>
      </c>
      <c r="D297" s="73"/>
      <c r="E297" s="73"/>
      <c r="F297" s="73"/>
      <c r="G297" s="73"/>
      <c r="H297" s="73"/>
      <c r="I297" s="73"/>
      <c r="J297" s="73"/>
      <c r="K297" s="73"/>
      <c r="L297" s="73"/>
      <c r="M297" s="74"/>
      <c r="N297" s="3"/>
      <c r="O297" s="39" t="s">
        <v>283</v>
      </c>
      <c r="P297" s="3"/>
      <c r="R297" s="3"/>
      <c r="S297" s="3"/>
      <c r="T297" s="3"/>
      <c r="U297" s="3"/>
      <c r="V297" s="103" t="s">
        <v>260</v>
      </c>
      <c r="W297" s="103" t="s">
        <v>209</v>
      </c>
      <c r="X297" s="103"/>
      <c r="Y297" s="103"/>
      <c r="Z297" s="103"/>
      <c r="AA297" s="103"/>
      <c r="AB297" s="103"/>
      <c r="AC297" s="103"/>
      <c r="AD297" s="103"/>
      <c r="AE297" s="103"/>
      <c r="AF297" s="103"/>
      <c r="AH297" s="171" t="s">
        <v>261</v>
      </c>
      <c r="AI297" s="172"/>
      <c r="AJ297" s="165"/>
      <c r="AK297" s="165"/>
      <c r="AL297" s="165"/>
      <c r="AM297" s="165"/>
      <c r="AN297" s="165"/>
      <c r="AO297" s="165"/>
      <c r="AP297" s="165"/>
      <c r="AQ297" s="165"/>
      <c r="AR297" s="165"/>
    </row>
    <row r="298" spans="1:45" ht="24.95" customHeight="1">
      <c r="A298" s="712"/>
      <c r="B298" s="102" t="s">
        <v>262</v>
      </c>
      <c r="C298" s="73" t="s">
        <v>263</v>
      </c>
      <c r="D298" s="73"/>
      <c r="E298" s="73"/>
      <c r="F298" s="73"/>
      <c r="G298" s="73"/>
      <c r="H298" s="73"/>
      <c r="I298" s="73"/>
      <c r="J298" s="73"/>
      <c r="K298" s="73"/>
      <c r="L298" s="73"/>
      <c r="M298" s="74"/>
      <c r="N298" s="3"/>
      <c r="O298" s="39" t="s">
        <v>33</v>
      </c>
      <c r="P298" s="3"/>
      <c r="Q298" s="3"/>
      <c r="R298" s="3"/>
      <c r="S298" s="3"/>
      <c r="T298" s="3"/>
      <c r="U298" s="3"/>
      <c r="V298" s="98" t="str">
        <f>IF(C297="","",C297)</f>
        <v>Exemple &gt; Tumbler (Old Fashioned)</v>
      </c>
      <c r="W298" s="98"/>
      <c r="X298" s="98"/>
      <c r="Y298" s="98"/>
      <c r="Z298" s="98"/>
      <c r="AA298" s="98"/>
      <c r="AB298" s="98"/>
      <c r="AC298" s="98"/>
      <c r="AD298" s="98"/>
      <c r="AE298" s="98"/>
      <c r="AF298" s="98"/>
      <c r="AH298" s="172" t="s">
        <v>264</v>
      </c>
      <c r="AI298" s="172"/>
      <c r="AJ298" s="165"/>
      <c r="AK298" s="172"/>
      <c r="AL298" s="165"/>
      <c r="AM298" s="165"/>
      <c r="AN298" s="165"/>
      <c r="AO298" s="172"/>
      <c r="AP298" s="165"/>
      <c r="AQ298" s="165"/>
      <c r="AR298" s="165"/>
    </row>
    <row r="299" spans="1:45" ht="24.95" customHeight="1">
      <c r="A299" s="712"/>
      <c r="B299" s="104" t="s">
        <v>267</v>
      </c>
      <c r="C299" s="105"/>
      <c r="D299" s="73"/>
      <c r="E299" s="73"/>
      <c r="F299" s="73"/>
      <c r="G299" s="73"/>
      <c r="H299" s="73"/>
      <c r="I299" s="73"/>
      <c r="J299" s="73"/>
      <c r="K299" s="73"/>
      <c r="L299" s="73"/>
      <c r="M299" s="74"/>
      <c r="N299" s="3"/>
      <c r="O299" s="39" t="s">
        <v>40</v>
      </c>
      <c r="P299" s="3"/>
      <c r="Q299" s="3"/>
      <c r="R299" s="3"/>
      <c r="S299" s="3"/>
      <c r="T299" s="3"/>
      <c r="U299" s="3"/>
      <c r="V299" s="98" t="str">
        <f>IF(C298="","",C298)</f>
        <v>Doseur / jigger ; cuillère à mélange ; bec verseur ; pince à glaçons</v>
      </c>
      <c r="W299" s="98"/>
      <c r="X299" s="98"/>
      <c r="Y299" s="98"/>
      <c r="Z299" s="98"/>
      <c r="AA299" s="98"/>
      <c r="AB299" s="98"/>
      <c r="AC299" s="98"/>
      <c r="AD299" s="98"/>
      <c r="AE299" s="98"/>
      <c r="AF299" s="98"/>
      <c r="AH299" s="172" t="s">
        <v>269</v>
      </c>
      <c r="AI299" s="172"/>
      <c r="AJ299" s="173"/>
      <c r="AK299" s="173"/>
      <c r="AL299" s="165"/>
      <c r="AM299" s="165"/>
      <c r="AN299" s="165"/>
      <c r="AO299" s="165"/>
      <c r="AP299" s="165"/>
      <c r="AQ299" s="165"/>
      <c r="AR299" s="165"/>
    </row>
    <row r="300" spans="1:45" ht="24.95" customHeight="1">
      <c r="A300" s="712"/>
      <c r="N300" s="3"/>
      <c r="O300" s="39" t="s">
        <v>43</v>
      </c>
      <c r="P300" s="3"/>
      <c r="Q300" s="3"/>
      <c r="R300" s="3"/>
      <c r="S300" s="3"/>
      <c r="T300" s="3"/>
      <c r="U300" s="3"/>
      <c r="V300" s="98" t="str">
        <f>IF(C299="","",C299)</f>
        <v/>
      </c>
      <c r="W300" s="98"/>
      <c r="X300" s="98"/>
      <c r="Y300" s="98"/>
      <c r="Z300" s="98"/>
      <c r="AA300" s="98"/>
      <c r="AB300" s="98"/>
      <c r="AC300" s="98"/>
      <c r="AD300" s="98"/>
      <c r="AE300" s="98"/>
      <c r="AF300" s="98"/>
      <c r="AH300" s="168" t="s">
        <v>274</v>
      </c>
      <c r="AI300" s="165"/>
      <c r="AJ300" s="173"/>
      <c r="AK300" s="173"/>
      <c r="AL300" s="165"/>
      <c r="AM300" s="165"/>
      <c r="AN300" s="165"/>
      <c r="AO300" s="165"/>
      <c r="AP300" s="165"/>
      <c r="AQ300" s="165"/>
      <c r="AR300" s="165"/>
    </row>
    <row r="301" spans="1:45" ht="24.95" customHeight="1">
      <c r="A301" s="713"/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7" t="s">
        <v>272</v>
      </c>
      <c r="N301" s="3"/>
      <c r="O301" s="39" t="s">
        <v>46</v>
      </c>
      <c r="P301" s="3"/>
      <c r="Q301" s="3"/>
      <c r="R301" s="3"/>
      <c r="S301" s="3"/>
      <c r="T301" s="3"/>
      <c r="U301" s="3"/>
      <c r="V301" s="108" t="s">
        <v>277</v>
      </c>
      <c r="W301" s="108"/>
      <c r="X301" s="108"/>
      <c r="Y301" s="108"/>
      <c r="Z301" s="108"/>
      <c r="AA301" s="108"/>
      <c r="AB301" s="108"/>
      <c r="AC301" s="108"/>
      <c r="AD301" s="108"/>
      <c r="AE301" s="108"/>
      <c r="AF301" s="109" t="s">
        <v>277</v>
      </c>
      <c r="AH301" s="168" t="s">
        <v>278</v>
      </c>
      <c r="AI301" s="172"/>
      <c r="AJ301" s="173"/>
      <c r="AK301" s="173"/>
      <c r="AL301" s="165"/>
      <c r="AM301" s="165"/>
      <c r="AN301" s="165"/>
      <c r="AO301" s="165"/>
      <c r="AP301" s="165"/>
      <c r="AQ301" s="165"/>
      <c r="AR301" s="165"/>
    </row>
    <row r="302" spans="1:45" ht="24.95" customHeight="1">
      <c r="A302" s="715"/>
      <c r="B302" s="716"/>
      <c r="C302" s="716"/>
      <c r="D302" s="716"/>
      <c r="E302" s="716"/>
      <c r="F302" s="716"/>
      <c r="G302" s="716"/>
      <c r="H302" s="716"/>
      <c r="I302" s="716"/>
      <c r="J302" s="716"/>
      <c r="K302" s="716"/>
      <c r="L302" s="716"/>
      <c r="M302" s="716"/>
      <c r="N302" s="717"/>
      <c r="O302" s="39" t="s">
        <v>299</v>
      </c>
      <c r="P302" s="717"/>
      <c r="Q302" s="3"/>
      <c r="R302" s="3"/>
      <c r="S302" s="3"/>
      <c r="T302" s="3"/>
      <c r="U302" s="719"/>
      <c r="V302" s="761"/>
      <c r="W302" s="761"/>
      <c r="X302" s="761"/>
      <c r="Y302" s="720"/>
      <c r="Z302" s="721"/>
      <c r="AA302" s="721"/>
      <c r="AB302" s="721"/>
      <c r="AC302" s="721"/>
      <c r="AD302" s="721"/>
      <c r="AE302" s="721"/>
      <c r="AF302" s="721"/>
      <c r="AG302" s="719"/>
      <c r="AH302" s="718"/>
      <c r="AI302" s="718"/>
      <c r="AJ302" s="718"/>
      <c r="AK302" s="718"/>
      <c r="AL302" s="718"/>
      <c r="AM302" s="722"/>
      <c r="AN302" s="722"/>
      <c r="AO302" s="722"/>
      <c r="AP302" s="722"/>
      <c r="AQ302" s="722"/>
      <c r="AR302" s="722"/>
      <c r="AS302" s="722"/>
    </row>
    <row r="303" spans="1:45" ht="24.95" customHeight="1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9" t="s">
        <v>302</v>
      </c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</row>
    <row r="304" spans="1:45" ht="24.95" customHeight="1">
      <c r="A304" s="149" t="s">
        <v>59</v>
      </c>
      <c r="B304" s="711" t="s">
        <v>60</v>
      </c>
      <c r="C304" s="711"/>
      <c r="D304" s="711"/>
      <c r="E304" s="711"/>
      <c r="F304" s="711"/>
      <c r="G304" s="711"/>
      <c r="H304" s="711"/>
      <c r="I304" s="711"/>
      <c r="J304" s="711"/>
      <c r="K304" s="711"/>
      <c r="L304" s="711"/>
      <c r="M304" s="711"/>
      <c r="N304" s="3"/>
      <c r="O304" s="39" t="s">
        <v>305</v>
      </c>
      <c r="P304" s="3"/>
      <c r="Q304" s="10" t="s">
        <v>61</v>
      </c>
      <c r="R304" s="10"/>
      <c r="S304" s="10"/>
      <c r="T304" s="10"/>
      <c r="V304" s="861" t="s">
        <v>62</v>
      </c>
      <c r="W304" s="861"/>
      <c r="X304" s="861"/>
      <c r="Y304" s="23" t="s">
        <v>63</v>
      </c>
      <c r="Z304" s="24"/>
      <c r="AA304" s="24"/>
      <c r="AB304" s="24"/>
      <c r="AC304" s="24"/>
      <c r="AD304" s="24"/>
      <c r="AE304" s="24"/>
      <c r="AF304" s="24"/>
      <c r="AH304" s="25" t="s">
        <v>64</v>
      </c>
      <c r="AI304" s="25"/>
      <c r="AJ304" s="25" t="s">
        <v>65</v>
      </c>
      <c r="AK304" s="25"/>
      <c r="AL304" s="25"/>
      <c r="AM304" s="26"/>
      <c r="AN304" s="26"/>
      <c r="AO304" s="26"/>
      <c r="AP304" s="26"/>
      <c r="AQ304" s="26"/>
      <c r="AR304" s="26"/>
      <c r="AS304" s="26"/>
    </row>
    <row r="305" spans="1:45" ht="24.95" customHeight="1">
      <c r="A305" s="712"/>
      <c r="B305" s="27" t="s">
        <v>67</v>
      </c>
      <c r="C305" s="28" t="s">
        <v>7264</v>
      </c>
      <c r="D305" s="28"/>
      <c r="E305" s="27" t="s">
        <v>69</v>
      </c>
      <c r="F305" s="355" t="s">
        <v>558</v>
      </c>
      <c r="G305" s="30"/>
      <c r="H305" s="27" t="s">
        <v>71</v>
      </c>
      <c r="I305" s="356" t="s">
        <v>564</v>
      </c>
      <c r="J305" s="30"/>
      <c r="K305" s="27" t="s">
        <v>73</v>
      </c>
      <c r="L305" s="32" t="s">
        <v>6669</v>
      </c>
      <c r="M305" s="33"/>
      <c r="N305" s="3"/>
      <c r="O305" s="39" t="s">
        <v>307</v>
      </c>
      <c r="P305" s="3"/>
      <c r="Q305" s="14" t="s">
        <v>27</v>
      </c>
      <c r="R305" s="35">
        <v>10</v>
      </c>
      <c r="S305" s="15" t="s">
        <v>76</v>
      </c>
      <c r="T305" s="15"/>
      <c r="V305" s="831" t="s">
        <v>77</v>
      </c>
      <c r="W305" s="862" t="str">
        <f>C305</f>
        <v>NOM DU COCKTAIL N°9</v>
      </c>
      <c r="X305" s="862"/>
      <c r="Y305" s="862"/>
      <c r="Z305" s="36" t="s">
        <v>78</v>
      </c>
      <c r="AA305" s="24" t="str">
        <f>F305</f>
        <v>Avec ou sans Alcool</v>
      </c>
      <c r="AB305" s="24"/>
      <c r="AC305" s="831" t="s">
        <v>71</v>
      </c>
      <c r="AD305" s="37" t="str">
        <f>I305</f>
        <v xml:space="preserve">Quand </v>
      </c>
      <c r="AE305" s="831" t="s">
        <v>73</v>
      </c>
      <c r="AF305" s="24" t="str">
        <f>L305</f>
        <v>TYPE DE COCKTAIL</v>
      </c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</row>
    <row r="306" spans="1:45" ht="24.95" customHeight="1">
      <c r="A306" s="712"/>
      <c r="B306" s="27" t="s">
        <v>80</v>
      </c>
      <c r="C306" s="38" t="s">
        <v>561</v>
      </c>
      <c r="D306" s="30"/>
      <c r="E306" s="27" t="s">
        <v>82</v>
      </c>
      <c r="F306" s="39" t="s">
        <v>83</v>
      </c>
      <c r="G306" s="30"/>
      <c r="H306" s="27" t="s">
        <v>84</v>
      </c>
      <c r="I306" s="40">
        <v>1</v>
      </c>
      <c r="J306" s="41" t="s">
        <v>83</v>
      </c>
      <c r="K306" s="41"/>
      <c r="L306" s="42" t="s">
        <v>76</v>
      </c>
      <c r="M306" s="33"/>
      <c r="N306" s="3"/>
      <c r="O306" s="39" t="s">
        <v>310</v>
      </c>
      <c r="Q306" s="14" t="s">
        <v>31</v>
      </c>
      <c r="R306" s="35"/>
      <c r="S306" s="15" t="s">
        <v>86</v>
      </c>
      <c r="T306" s="15"/>
      <c r="V306" s="44" t="s">
        <v>87</v>
      </c>
      <c r="W306" s="150" t="str">
        <f>R310</f>
        <v/>
      </c>
      <c r="X306" s="43" t="s">
        <v>88</v>
      </c>
      <c r="Y306" s="43"/>
      <c r="Z306" s="44" t="s">
        <v>89</v>
      </c>
      <c r="AA306" s="45">
        <f>R312</f>
        <v>0</v>
      </c>
      <c r="AB306" s="46" t="s">
        <v>90</v>
      </c>
      <c r="AC306" s="44" t="s">
        <v>91</v>
      </c>
      <c r="AD306" s="45">
        <f>R307</f>
        <v>10</v>
      </c>
      <c r="AE306" s="47" t="s">
        <v>92</v>
      </c>
      <c r="AF306" s="43" t="str">
        <f>R314</f>
        <v>NOMBRE DE COCKTAILS</v>
      </c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</row>
    <row r="307" spans="1:45" ht="24.95" customHeight="1">
      <c r="A307" s="712"/>
      <c r="B307" s="27" t="s">
        <v>94</v>
      </c>
      <c r="C307" s="151" t="s">
        <v>6670</v>
      </c>
      <c r="D307" s="30"/>
      <c r="E307" s="30"/>
      <c r="F307" s="30"/>
      <c r="G307" s="30"/>
      <c r="H307" s="27" t="s">
        <v>96</v>
      </c>
      <c r="I307" s="48">
        <v>15</v>
      </c>
      <c r="J307" s="152" t="s">
        <v>32</v>
      </c>
      <c r="K307" s="30"/>
      <c r="L307" s="30"/>
      <c r="M307" s="33"/>
      <c r="N307" s="3"/>
      <c r="O307" s="39" t="s">
        <v>313</v>
      </c>
      <c r="Q307" s="14" t="s">
        <v>98</v>
      </c>
      <c r="R307" s="49">
        <f>IF(AND(ISNUMBER(R306),R306&gt;0),IFERROR(R306*1000/R308,0),IF(AND(ISNUMBER(R305),R305&gt;0,ISNUMBER(I306),I306&gt;0),R305/I306,1))</f>
        <v>10</v>
      </c>
      <c r="S307" s="50" t="s">
        <v>99</v>
      </c>
      <c r="T307" s="50"/>
      <c r="V307" s="44" t="s">
        <v>100</v>
      </c>
      <c r="W307" s="51">
        <f>IF(R308="","",R308/10)</f>
        <v>0</v>
      </c>
      <c r="X307" s="46" t="s">
        <v>32</v>
      </c>
      <c r="Y307" s="43"/>
      <c r="Z307" s="44" t="s">
        <v>101</v>
      </c>
      <c r="AA307" s="45" t="str">
        <f>R309</f>
        <v/>
      </c>
      <c r="AB307" s="46" t="s">
        <v>32</v>
      </c>
      <c r="AC307" s="44" t="s">
        <v>102</v>
      </c>
      <c r="AD307" s="45">
        <f>R313</f>
        <v>10</v>
      </c>
      <c r="AE307" s="51"/>
      <c r="AF307" s="4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</row>
    <row r="308" spans="1:45" ht="24.95" customHeight="1">
      <c r="A308" s="712"/>
      <c r="B308" s="27"/>
      <c r="C308" s="52" t="str">
        <f>UPPER(LEFT(C305,1)) &amp; " . " &amp; UPPER(LEFT(C305,1)) &amp; LOWER(MID(C305,2,999)) &amp; " . " &amp; UPPER(LEFT(F305,1)) &amp; LOWER(MID(F305,2,999)) &amp; " . " &amp; UPPER(LEFT(I305,1)) &amp; LOWER(MID(I305,2,999)) &amp; " . " &amp; "Verre " &amp; UPPER(LEFT(F306,1)) &amp; LOWER(MID(F306,2,999)) &amp; IF(LEFT(L305,1)=UPPER(LEFT(L305,1)),".","") &amp; UPPER(LEFT(L305,1)) &amp; LOWER(MID(L305,2,999))&amp;"  couleur"&amp;" "&amp;C306&amp;"  intensité"&amp;" "&amp;C307</f>
        <v>N . Nom du cocktail n°9 . Avec ou sans alcool . Quand  . Verre Tumbler (old fashioned).Type de cocktail  couleur Couleur dominante à coller  intensité ****  précisez</v>
      </c>
      <c r="D308" s="52"/>
      <c r="E308" s="52"/>
      <c r="F308" s="52"/>
      <c r="G308" s="52"/>
      <c r="H308" s="52"/>
      <c r="I308" s="52"/>
      <c r="J308" s="52"/>
      <c r="K308" s="52"/>
      <c r="L308" s="30"/>
      <c r="M308" s="33"/>
      <c r="N308" s="3"/>
      <c r="O308" s="39" t="s">
        <v>49</v>
      </c>
      <c r="Q308" s="14" t="s">
        <v>105</v>
      </c>
      <c r="R308" s="49">
        <f>SUMIF(AJ315:AJ321,"VOLUME",AL315:AL321)</f>
        <v>0</v>
      </c>
      <c r="S308" s="50" t="s">
        <v>22</v>
      </c>
      <c r="T308" s="50"/>
      <c r="V308" s="44" t="s">
        <v>96</v>
      </c>
      <c r="W308" s="51">
        <f>I307</f>
        <v>15</v>
      </c>
      <c r="X308" s="46" t="str">
        <f>J307</f>
        <v>cl</v>
      </c>
      <c r="Y308" s="43"/>
      <c r="Z308" s="44" t="s">
        <v>82</v>
      </c>
      <c r="AA308" s="54" t="str">
        <f>F306</f>
        <v>Tumbler (Old Fashioned)</v>
      </c>
      <c r="AB308" s="43"/>
      <c r="AC308" s="44" t="s">
        <v>106</v>
      </c>
      <c r="AD308" s="45">
        <f>R315</f>
        <v>25</v>
      </c>
      <c r="AE308" s="46" t="s">
        <v>32</v>
      </c>
      <c r="AF308" s="4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</row>
    <row r="309" spans="1:45" ht="24.95" customHeight="1">
      <c r="A309" s="712"/>
      <c r="B309" s="27" t="s">
        <v>110</v>
      </c>
      <c r="C309" s="55" t="s">
        <v>579</v>
      </c>
      <c r="D309" s="55"/>
      <c r="E309" s="154"/>
      <c r="F309" s="154"/>
      <c r="G309" s="154"/>
      <c r="H309" s="154"/>
      <c r="I309" s="154"/>
      <c r="J309" s="154"/>
      <c r="K309" s="154"/>
      <c r="L309" s="30"/>
      <c r="M309" s="33"/>
      <c r="N309" s="3"/>
      <c r="O309" s="39" t="s">
        <v>316</v>
      </c>
      <c r="Q309" s="14" t="s">
        <v>113</v>
      </c>
      <c r="R309" s="49" t="str">
        <f>IF(OR(R308=0,NOT(ISNUMBER(I306)),I306&lt;=0),"",R308/I306/10)</f>
        <v/>
      </c>
      <c r="S309" s="50" t="s">
        <v>32</v>
      </c>
      <c r="T309" s="50"/>
      <c r="V309" s="44" t="s">
        <v>114</v>
      </c>
      <c r="W309" s="51" t="str">
        <f>IF(I307="","",IF(R315="","⚠ À CONTRÔLER",IF(I307&lt;=R315,"✔ OK","❌ DÉPASSE CAPACITÉ")))</f>
        <v>✔ OK</v>
      </c>
      <c r="X309" s="43"/>
      <c r="Y309" s="43"/>
      <c r="Z309" s="44"/>
      <c r="AA309" s="56"/>
      <c r="AB309" s="43"/>
      <c r="AC309" s="43"/>
      <c r="AD309" s="46"/>
      <c r="AE309" s="46"/>
      <c r="AF309" s="4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</row>
    <row r="310" spans="1:45" ht="24.95" customHeight="1">
      <c r="A310" s="712"/>
      <c r="B310" s="30"/>
      <c r="C310" s="30"/>
      <c r="D310" s="30"/>
      <c r="E310" s="30"/>
      <c r="F310" s="30"/>
      <c r="G310" s="30"/>
      <c r="H310" s="206"/>
      <c r="I310" s="30"/>
      <c r="J310" s="30"/>
      <c r="K310" s="30"/>
      <c r="L310" s="30"/>
      <c r="M310" s="33"/>
      <c r="N310" s="3"/>
      <c r="O310" s="39" t="s">
        <v>318</v>
      </c>
      <c r="Q310" s="14" t="s">
        <v>118</v>
      </c>
      <c r="R310" s="155" t="str">
        <f>IF(AN322=0,"",SUM(AQ315:AQ321)/AN322*100)</f>
        <v/>
      </c>
      <c r="S310" s="50" t="s">
        <v>88</v>
      </c>
      <c r="T310" s="50"/>
      <c r="V310" s="44" t="s">
        <v>110</v>
      </c>
      <c r="W310" s="46" t="str">
        <f>C309</f>
        <v>Description</v>
      </c>
      <c r="X310" s="43"/>
      <c r="Y310" s="43"/>
      <c r="Z310" s="44"/>
      <c r="AA310" s="56"/>
      <c r="AB310" s="43"/>
      <c r="AC310" s="43"/>
      <c r="AD310" s="46"/>
      <c r="AE310" s="46"/>
      <c r="AF310" s="4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</row>
    <row r="311" spans="1:45" ht="24.95" customHeight="1">
      <c r="A311" s="712"/>
      <c r="B311" s="57" t="s">
        <v>121</v>
      </c>
      <c r="C311" s="58" t="s">
        <v>568</v>
      </c>
      <c r="D311" s="58"/>
      <c r="E311" s="59"/>
      <c r="F311" s="57" t="s">
        <v>123</v>
      </c>
      <c r="G311" s="58"/>
      <c r="H311" s="60"/>
      <c r="I311" s="60"/>
      <c r="J311" s="61"/>
      <c r="K311" s="61"/>
      <c r="L311" s="61"/>
      <c r="M311" s="62"/>
      <c r="N311" s="3"/>
      <c r="O311" s="39" t="s">
        <v>320</v>
      </c>
      <c r="Q311" s="14" t="s">
        <v>126</v>
      </c>
      <c r="R311" s="156">
        <f>SUM(AR315:AR321)</f>
        <v>0</v>
      </c>
      <c r="S311" s="50" t="s">
        <v>90</v>
      </c>
      <c r="T311" s="50"/>
      <c r="V311" s="44" t="s">
        <v>121</v>
      </c>
      <c r="W311" s="46" t="str">
        <f>C311</f>
        <v>VOUS</v>
      </c>
      <c r="X311" s="43"/>
      <c r="Y311" s="43"/>
      <c r="Z311" s="44" t="s">
        <v>94</v>
      </c>
      <c r="AA311" s="54" t="str">
        <f>C307</f>
        <v>****  précisez</v>
      </c>
      <c r="AB311" s="43"/>
      <c r="AC311" s="759" t="str">
        <f>UPPER(LEFT(C305,1))&amp;" . "&amp;UPPER(LEFT(C305,1))&amp;LOWER(MID(C305,2,999))&amp;" . "&amp;UPPER(LEFT(F305,1))&amp;LOWER(MID(F305,2,999))&amp;" . "&amp;UPPER(LEFT(I305,1))&amp;LOWER(MID(I305,2,999))&amp;" . "&amp;"Verre "&amp;UPPER(LEFT(F306,1))&amp;LOWER(MID(F306,2,999))&amp;IF(LEFT(L305,1)=UPPER(LEFT(L305,1)),".","")&amp;UPPER(LEFT(L305,1))&amp;LOWER(MID(L305,2,999))&amp;"  couleur "&amp;C306&amp;"  intensité "&amp;C307</f>
        <v>N . Nom du cocktail n°9 . Avec ou sans alcool . Quand  . Verre Tumbler (old fashioned).Type de cocktail  couleur Couleur dominante à coller  intensité ****  précisez</v>
      </c>
      <c r="AD311" s="759"/>
      <c r="AE311" s="759"/>
      <c r="AF311" s="759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</row>
    <row r="312" spans="1:45" ht="24.95" customHeight="1">
      <c r="A312" s="712"/>
      <c r="B312" s="10" t="s">
        <v>131</v>
      </c>
      <c r="C312" s="10" t="s">
        <v>132</v>
      </c>
      <c r="D312" s="10"/>
      <c r="E312" s="10"/>
      <c r="F312" s="10"/>
      <c r="G312" s="10"/>
      <c r="H312" s="10"/>
      <c r="I312" s="10"/>
      <c r="J312" s="11" t="str">
        <f>IF(COUNTIF(C314:C320,"*~**")+COUNTIF(C314:C320,"*~?*")=0,"",IF(COUNTIF(C314:C320,"*~**")&gt;0,COUNTIF(C314:C320,"*~**")&amp;" allergène"&amp;IF(COUNTIF(C314:C320,"*~**")&gt;1,"s","")&amp;" repéré"&amp;IF(COUNTIF(C314:C320,"*~**")&gt;1,"s","")&amp;" par *","")&amp;IF(AND(COUNTIF(C314:C320,"*~**")&gt;0,COUNTIF(C314:C320,"*~?*")&gt;0)," | ","")&amp;IF(COUNTIF(C314:C320,"*~?*")&gt;0,COUNTIF(C314:C320,"*~?*")&amp;" produit"&amp;IF(COUNTIF(C314:C320,"*~?*")&gt;1,"s","")&amp;" à vérifier par ?",""))</f>
        <v/>
      </c>
      <c r="K312" s="10"/>
      <c r="L312" s="10"/>
      <c r="M312" s="63"/>
      <c r="N312" s="3"/>
      <c r="O312" s="39" t="s">
        <v>53</v>
      </c>
      <c r="Q312" s="14" t="s">
        <v>134</v>
      </c>
      <c r="R312" s="156">
        <f>IF(OR(R311="",R313="",R313=0),"",R311/R313)</f>
        <v>0</v>
      </c>
      <c r="S312" s="50" t="s">
        <v>135</v>
      </c>
      <c r="T312" s="50"/>
      <c r="V312" s="852" t="s">
        <v>136</v>
      </c>
      <c r="W312" s="853">
        <f>R311</f>
        <v>0</v>
      </c>
      <c r="X312" s="854" t="s">
        <v>90</v>
      </c>
      <c r="Y312" s="43"/>
      <c r="Z312" s="44" t="s">
        <v>137</v>
      </c>
      <c r="AA312" s="54" t="str">
        <f>C305</f>
        <v>NOM DU COCKTAIL N°9</v>
      </c>
      <c r="AB312" s="43"/>
      <c r="AC312" s="759"/>
      <c r="AD312" s="759"/>
      <c r="AE312" s="759"/>
      <c r="AF312" s="759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</row>
    <row r="313" spans="1:45" ht="24.95" customHeight="1">
      <c r="A313" s="712"/>
      <c r="B313" s="66">
        <v>0</v>
      </c>
      <c r="C313" s="64" t="s">
        <v>141</v>
      </c>
      <c r="D313" s="65" t="s">
        <v>142</v>
      </c>
      <c r="E313" s="64" t="s">
        <v>9</v>
      </c>
      <c r="F313" s="66" t="s">
        <v>143</v>
      </c>
      <c r="G313" s="66" t="s">
        <v>144</v>
      </c>
      <c r="H313" s="66" t="s">
        <v>145</v>
      </c>
      <c r="I313" s="67" t="s">
        <v>146</v>
      </c>
      <c r="J313" s="67" t="s">
        <v>847</v>
      </c>
      <c r="K313" s="67" t="s">
        <v>148</v>
      </c>
      <c r="L313" s="67" t="s">
        <v>149</v>
      </c>
      <c r="M313" s="68" t="s">
        <v>150</v>
      </c>
      <c r="N313" s="3"/>
      <c r="O313" s="39" t="s">
        <v>58</v>
      </c>
      <c r="Q313" s="14" t="s">
        <v>152</v>
      </c>
      <c r="R313" s="49">
        <f>IF(AND(ISNUMBER(R306),R306&gt;0,ISNUMBER(I307),I307&gt;0),R306*1000/(I307*10),IF(AND(ISNUMBER(R305),R305&gt;0),R305,""))</f>
        <v>10</v>
      </c>
      <c r="S313" s="50" t="s">
        <v>76</v>
      </c>
      <c r="T313" s="50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H313" s="25" t="s">
        <v>153</v>
      </c>
      <c r="AI313" s="25"/>
      <c r="AJ313" s="25" t="s">
        <v>490</v>
      </c>
      <c r="AK313" s="25"/>
      <c r="AL313" s="25"/>
      <c r="AM313" s="25"/>
      <c r="AN313" s="26"/>
      <c r="AO313" s="26"/>
      <c r="AP313" s="26"/>
      <c r="AQ313" s="26"/>
      <c r="AR313" s="26"/>
      <c r="AS313" s="26"/>
    </row>
    <row r="314" spans="1:45" ht="24.95" customHeight="1">
      <c r="A314" s="712"/>
      <c r="B314" s="158">
        <v>1</v>
      </c>
      <c r="C314" s="70"/>
      <c r="D314" s="79"/>
      <c r="E314" s="3"/>
      <c r="F314" s="72"/>
      <c r="G314" s="159"/>
      <c r="H314" s="160"/>
      <c r="I314" s="161"/>
      <c r="J314" s="73" t="s">
        <v>849</v>
      </c>
      <c r="K314" s="73"/>
      <c r="L314" s="73"/>
      <c r="M314" s="74"/>
      <c r="N314" s="3"/>
      <c r="O314" s="39" t="s">
        <v>79</v>
      </c>
      <c r="Q314" s="14" t="s">
        <v>158</v>
      </c>
      <c r="R314" s="75" t="str">
        <f>IF(AND(ISNUMBER(R306),R306&gt;0),"VOLUME TOTAL",IF(AND(ISNUMBER(R305),R305&gt;0),"NOMBRE DE COCKTAILS","RÉFÉRENCE"))</f>
        <v>NOMBRE DE COCKTAILS</v>
      </c>
      <c r="S314" s="50"/>
      <c r="T314" s="50"/>
      <c r="V314" s="831" t="s">
        <v>159</v>
      </c>
      <c r="W314" s="36" t="s">
        <v>160</v>
      </c>
      <c r="X314" s="76" t="s">
        <v>161</v>
      </c>
      <c r="Y314" s="835" t="s">
        <v>162</v>
      </c>
      <c r="Z314" s="838" t="s">
        <v>163</v>
      </c>
      <c r="AA314" s="36" t="s">
        <v>164</v>
      </c>
      <c r="AB314" s="36" t="s">
        <v>9</v>
      </c>
      <c r="AC314" s="841" t="s">
        <v>165</v>
      </c>
      <c r="AD314" s="296" t="s">
        <v>166</v>
      </c>
      <c r="AE314" s="36" t="s">
        <v>146</v>
      </c>
      <c r="AF314" s="833" t="s">
        <v>167</v>
      </c>
      <c r="AH314" s="77" t="s">
        <v>168</v>
      </c>
      <c r="AI314" s="78" t="s">
        <v>159</v>
      </c>
      <c r="AJ314" s="77" t="s">
        <v>10</v>
      </c>
      <c r="AK314" s="77" t="s">
        <v>169</v>
      </c>
      <c r="AL314" s="77" t="s">
        <v>170</v>
      </c>
      <c r="AM314" s="77" t="s">
        <v>91</v>
      </c>
      <c r="AN314" s="78" t="s">
        <v>161</v>
      </c>
      <c r="AO314" s="77" t="s">
        <v>171</v>
      </c>
      <c r="AP314" s="77" t="s">
        <v>172</v>
      </c>
      <c r="AQ314" s="77" t="s">
        <v>165</v>
      </c>
      <c r="AR314" s="77" t="s">
        <v>167</v>
      </c>
      <c r="AS314" s="77" t="s">
        <v>173</v>
      </c>
    </row>
    <row r="315" spans="1:45" ht="24.95" customHeight="1">
      <c r="A315" s="712"/>
      <c r="B315" s="162">
        <v>2</v>
      </c>
      <c r="C315" s="70"/>
      <c r="D315" s="79"/>
      <c r="E315" s="3"/>
      <c r="F315" s="72"/>
      <c r="G315" s="159"/>
      <c r="H315" s="160"/>
      <c r="I315" s="161"/>
      <c r="J315" s="73" t="s">
        <v>6989</v>
      </c>
      <c r="K315" s="73"/>
      <c r="L315" s="73"/>
      <c r="M315" s="74"/>
      <c r="N315" s="3"/>
      <c r="O315" s="39" t="s">
        <v>109</v>
      </c>
      <c r="Q315" s="14" t="s">
        <v>35</v>
      </c>
      <c r="R315" s="35">
        <f>IFERROR(VLOOKUP(F306,$BB$5:$BC$40,2,FALSE),"")</f>
        <v>25</v>
      </c>
      <c r="S315" s="50" t="s">
        <v>32</v>
      </c>
      <c r="T315" s="50"/>
      <c r="V315" s="846" t="str">
        <f t="shared" ref="V315:V321" si="176">IF(AI315="","",AI315)</f>
        <v/>
      </c>
      <c r="W315" s="848" t="str">
        <f t="shared" ref="W315:W321" si="177">IF(C314="","",IF(H314="QS","QS",D314&amp;" "&amp;E314))</f>
        <v/>
      </c>
      <c r="X315" s="81" t="str">
        <f t="shared" ref="X315:X321" si="178">IF(AN315="","",AN315)</f>
        <v/>
      </c>
      <c r="Y315" s="836" t="str">
        <f t="shared" ref="Y315:Y321" si="179">IF(C314="","",IF(H314="QS","Qt. suffisante",IF(AN315="","",IF(AJ315="VOLUME",IF(AN315&gt;=1000,TEXT(AO315,"0.00")&amp;" "&amp;AP315,IF(AN315&gt;=10,TEXT(AO315,"0.0")&amp;" "&amp;AP315&amp;" ► "&amp;TEXT(AN315/1000,"0.000")&amp;" L",TEXT(AO315,"0.0")&amp;" "&amp;AP315)),IF(AJ315="MASSE",TEXT(AO315,"0.00")&amp;" "&amp;AP315,AO315&amp;" "&amp;AP315)))))</f>
        <v/>
      </c>
      <c r="Z315" s="839" t="str">
        <f>IF(OR(C314="",AJ315&lt;&gt;"VOLUME",AN322=0),"","≈ "&amp;TEXT(ROUND(AN315/AN322*10*2,0)/2,"0.0")&amp;"/10")</f>
        <v/>
      </c>
      <c r="AA315" s="82" t="str">
        <f t="shared" ref="AA315:AA321" si="180">IF(AJ315="AUTRE",AO315,"")</f>
        <v/>
      </c>
      <c r="AB315" s="83" t="str">
        <f t="shared" ref="AB315:AB321" si="181">IF(C314="","",AP315)</f>
        <v/>
      </c>
      <c r="AC315" s="842" t="str">
        <f t="shared" ref="AC315:AC321" si="182">IF(C314="","",AQ315)</f>
        <v/>
      </c>
      <c r="AD315" s="163" t="str">
        <f t="shared" ref="AD315:AD321" si="183">IF(C314="","",IF(ISNUMBER(F314),F314,0))</f>
        <v/>
      </c>
      <c r="AE315" s="164" t="str">
        <f t="shared" ref="AE315:AE321" si="184">IF(C314="","",IF(ISNUMBER(I314),I314,""))</f>
        <v/>
      </c>
      <c r="AF315" s="855" t="str">
        <f t="shared" ref="AF315:AF321" si="185">IF(C314="","",AR315)</f>
        <v/>
      </c>
      <c r="AH315" s="84" t="str">
        <f t="shared" ref="AH315:AH321" si="186">IF(C314="","",B314)</f>
        <v/>
      </c>
      <c r="AI315" s="85" t="str">
        <f t="shared" ref="AI315:AI321" si="187">IF(C314="","",C314)</f>
        <v/>
      </c>
      <c r="AJ315" s="84" t="str">
        <f t="shared" ref="AJ315:AJ321" si="188">IF(C314="","",IFERROR(VLOOKUP(E314,$AU$5:$AY$121,2,FALSE),"UNITÉ ?"))</f>
        <v/>
      </c>
      <c r="AK315" s="84" t="str">
        <f t="shared" ref="AK315:AK321" si="189">IF(C314="","",IFERROR(VLOOKUP(E314,$AU$5:$AY$121,3,FALSE),""))</f>
        <v/>
      </c>
      <c r="AL315" s="84" t="str">
        <f t="shared" ref="AL315:AL321" si="190">IF(OR(C314="",H314="QS",NOT(ISNUMBER(D314))),"",D314*AK315)</f>
        <v/>
      </c>
      <c r="AM315" s="84" t="str">
        <f>IF(C314="","",R307)</f>
        <v/>
      </c>
      <c r="AN315" s="84" t="str">
        <f t="shared" ref="AN315:AN321" si="191">IF(C314="","",IF(H314="QS","",IF(AL315="","",IF(OR(H314="F",H314="FIXE"),AL315,AL315*AM315))))</f>
        <v/>
      </c>
      <c r="AO315" s="84" t="str">
        <f t="shared" ref="AO315:AO321" si="192">IF(C314="","",IF(H314="QS","",IF(AN315="","",IF(AJ315="VOLUME",IF(AN315&gt;=1000,ROUND(AN315/1000,2),IF(AN315&gt;=10,ROUND(AN315/10,1),ROUND(AN315,1))),IF(AJ315="MASSE",IF(AN315&gt;=1000,ROUND(AN315/1000,2),ROUND(AN315,0)),ROUND(AN315,2))))))</f>
        <v/>
      </c>
      <c r="AP315" s="84" t="str">
        <f t="shared" ref="AP315:AP321" si="193">IF(C314="","",IF(H314="QS","",IF(AN315="","",IF(AJ315="VOLUME",IF(AN315&gt;=1000,"L",IF(AN315&gt;=10,"cl","ml")),IF(AJ315="MASSE",IF(AN315&gt;=1000,"Kg","g"),IFERROR(VLOOKUP(E314,$AU$5:$AY$121,5,FALSE),E314))))))</f>
        <v/>
      </c>
      <c r="AQ315" s="84" t="str">
        <f t="shared" ref="AQ315:AQ321" si="194">IF(C314="","",IF(OR(AJ315&lt;&gt;"VOLUME",NOT(ISNUMBER(F314)),AN315=""),0,AN315*F314/100))</f>
        <v/>
      </c>
      <c r="AR315" s="84" t="str">
        <f t="shared" ref="AR315:AR321" si="195">IF(C314="","",IF(H314="QS",0,IF(NOT(ISNUMBER(I314)),0,IF(OR(AJ315="VOLUME",AJ315="MASSE"),AN315/1000*I314,AN315*I314))))</f>
        <v/>
      </c>
      <c r="AS315" s="84" t="str">
        <f t="shared" ref="AS315:AS321" si="196">IF(C314="","",IF(H314="QS","OK",IF(NOT(ISNUMBER(D314)),"QUANTITÉ ?",IF(E314="","UNITÉ ?",IF(AJ315="UNITÉ ?","UNITÉ ?",IF(AND(H314&lt;&gt;"",H314&lt;&gt;"PROP",H314&lt;&gt;"F",H314&lt;&gt;"FIXE",H314&lt;&gt;"QS"),"RÈGLE ?","OK"))))))</f>
        <v/>
      </c>
    </row>
    <row r="316" spans="1:45" ht="24.95" customHeight="1">
      <c r="A316" s="712"/>
      <c r="B316" s="158">
        <v>3</v>
      </c>
      <c r="C316" s="70"/>
      <c r="D316" s="79"/>
      <c r="E316" s="3"/>
      <c r="F316" s="72"/>
      <c r="G316" s="159"/>
      <c r="H316" s="160"/>
      <c r="I316" s="161"/>
      <c r="J316" s="73" t="s">
        <v>6990</v>
      </c>
      <c r="K316" s="73"/>
      <c r="L316" s="73"/>
      <c r="M316" s="74"/>
      <c r="N316" s="3"/>
      <c r="O316" s="39" t="s">
        <v>326</v>
      </c>
      <c r="V316" s="846" t="str">
        <f t="shared" si="176"/>
        <v/>
      </c>
      <c r="W316" s="848" t="str">
        <f t="shared" si="177"/>
        <v/>
      </c>
      <c r="X316" s="81" t="str">
        <f t="shared" si="178"/>
        <v/>
      </c>
      <c r="Y316" s="836" t="str">
        <f t="shared" si="179"/>
        <v/>
      </c>
      <c r="Z316" s="839" t="str">
        <f>IF(OR(C315="",AJ316&lt;&gt;"VOLUME",AN322=0),"","≈ "&amp;TEXT(ROUND(AN316/AN322*10*2,0)/2,"0.0")&amp;"/10")</f>
        <v/>
      </c>
      <c r="AA316" s="82" t="str">
        <f t="shared" si="180"/>
        <v/>
      </c>
      <c r="AB316" s="83" t="str">
        <f t="shared" si="181"/>
        <v/>
      </c>
      <c r="AC316" s="842" t="str">
        <f t="shared" si="182"/>
        <v/>
      </c>
      <c r="AD316" s="163" t="str">
        <f t="shared" si="183"/>
        <v/>
      </c>
      <c r="AE316" s="164" t="str">
        <f t="shared" si="184"/>
        <v/>
      </c>
      <c r="AF316" s="855" t="str">
        <f t="shared" si="185"/>
        <v/>
      </c>
      <c r="AH316" s="84" t="str">
        <f t="shared" si="186"/>
        <v/>
      </c>
      <c r="AI316" s="85" t="str">
        <f t="shared" si="187"/>
        <v/>
      </c>
      <c r="AJ316" s="84" t="str">
        <f t="shared" si="188"/>
        <v/>
      </c>
      <c r="AK316" s="84" t="str">
        <f t="shared" si="189"/>
        <v/>
      </c>
      <c r="AL316" s="84" t="str">
        <f t="shared" si="190"/>
        <v/>
      </c>
      <c r="AM316" s="84" t="str">
        <f>IF(C315="","",R307)</f>
        <v/>
      </c>
      <c r="AN316" s="84" t="str">
        <f t="shared" si="191"/>
        <v/>
      </c>
      <c r="AO316" s="84" t="str">
        <f t="shared" si="192"/>
        <v/>
      </c>
      <c r="AP316" s="84" t="str">
        <f t="shared" si="193"/>
        <v/>
      </c>
      <c r="AQ316" s="84" t="str">
        <f t="shared" si="194"/>
        <v/>
      </c>
      <c r="AR316" s="84" t="str">
        <f t="shared" si="195"/>
        <v/>
      </c>
      <c r="AS316" s="84" t="str">
        <f t="shared" si="196"/>
        <v/>
      </c>
    </row>
    <row r="317" spans="1:45" ht="24.95" customHeight="1">
      <c r="A317" s="712"/>
      <c r="B317" s="162">
        <v>4</v>
      </c>
      <c r="C317" s="70"/>
      <c r="D317" s="79"/>
      <c r="E317" s="3"/>
      <c r="F317" s="72"/>
      <c r="G317" s="159"/>
      <c r="H317" s="160"/>
      <c r="I317" s="161"/>
      <c r="J317" s="73" t="s">
        <v>6991</v>
      </c>
      <c r="K317" s="73"/>
      <c r="L317" s="73"/>
      <c r="M317" s="74"/>
      <c r="N317" s="3"/>
      <c r="O317" s="39" t="s">
        <v>120</v>
      </c>
      <c r="Q317" s="744" t="s">
        <v>566</v>
      </c>
      <c r="V317" s="846" t="str">
        <f t="shared" si="176"/>
        <v/>
      </c>
      <c r="W317" s="848" t="str">
        <f t="shared" si="177"/>
        <v/>
      </c>
      <c r="X317" s="81" t="str">
        <f t="shared" si="178"/>
        <v/>
      </c>
      <c r="Y317" s="836" t="str">
        <f t="shared" si="179"/>
        <v/>
      </c>
      <c r="Z317" s="839" t="str">
        <f>IF(OR(C316="",AJ317&lt;&gt;"VOLUME",AN322=0),"","≈ "&amp;TEXT(ROUND(AN317/AN322*10*2,0)/2,"0.0")&amp;"/10")</f>
        <v/>
      </c>
      <c r="AA317" s="82" t="str">
        <f t="shared" si="180"/>
        <v/>
      </c>
      <c r="AB317" s="83" t="str">
        <f t="shared" si="181"/>
        <v/>
      </c>
      <c r="AC317" s="842" t="str">
        <f t="shared" si="182"/>
        <v/>
      </c>
      <c r="AD317" s="163" t="str">
        <f t="shared" si="183"/>
        <v/>
      </c>
      <c r="AE317" s="164" t="str">
        <f t="shared" si="184"/>
        <v/>
      </c>
      <c r="AF317" s="855" t="str">
        <f t="shared" si="185"/>
        <v/>
      </c>
      <c r="AH317" s="84" t="str">
        <f t="shared" si="186"/>
        <v/>
      </c>
      <c r="AI317" s="85" t="str">
        <f t="shared" si="187"/>
        <v/>
      </c>
      <c r="AJ317" s="84" t="str">
        <f t="shared" si="188"/>
        <v/>
      </c>
      <c r="AK317" s="84" t="str">
        <f t="shared" si="189"/>
        <v/>
      </c>
      <c r="AL317" s="84" t="str">
        <f t="shared" si="190"/>
        <v/>
      </c>
      <c r="AM317" s="84" t="str">
        <f>IF(C316="","",R307)</f>
        <v/>
      </c>
      <c r="AN317" s="84" t="str">
        <f t="shared" si="191"/>
        <v/>
      </c>
      <c r="AO317" s="84" t="str">
        <f t="shared" si="192"/>
        <v/>
      </c>
      <c r="AP317" s="84" t="str">
        <f t="shared" si="193"/>
        <v/>
      </c>
      <c r="AQ317" s="84" t="str">
        <f t="shared" si="194"/>
        <v/>
      </c>
      <c r="AR317" s="84" t="str">
        <f t="shared" si="195"/>
        <v/>
      </c>
      <c r="AS317" s="84" t="str">
        <f t="shared" si="196"/>
        <v/>
      </c>
    </row>
    <row r="318" spans="1:45" ht="24.95" customHeight="1">
      <c r="A318" s="712"/>
      <c r="B318" s="158">
        <v>5</v>
      </c>
      <c r="C318" s="70"/>
      <c r="D318" s="79"/>
      <c r="E318" s="3"/>
      <c r="F318" s="72"/>
      <c r="G318" s="159"/>
      <c r="H318" s="160"/>
      <c r="I318" s="161"/>
      <c r="J318" s="73" t="s">
        <v>6992</v>
      </c>
      <c r="K318" s="73"/>
      <c r="L318" s="73"/>
      <c r="M318" s="74"/>
      <c r="N318" s="3"/>
      <c r="O318" s="39" t="s">
        <v>130</v>
      </c>
      <c r="Q318" s="744"/>
      <c r="V318" s="846" t="str">
        <f t="shared" si="176"/>
        <v/>
      </c>
      <c r="W318" s="848" t="str">
        <f t="shared" si="177"/>
        <v/>
      </c>
      <c r="X318" s="81" t="str">
        <f t="shared" si="178"/>
        <v/>
      </c>
      <c r="Y318" s="836" t="str">
        <f t="shared" si="179"/>
        <v/>
      </c>
      <c r="Z318" s="839" t="str">
        <f>IF(OR(C317="",AJ318&lt;&gt;"VOLUME",AN322=0),"","≈ "&amp;TEXT(ROUND(AN318/AN322*10*2,0)/2,"0.0")&amp;"/10")</f>
        <v/>
      </c>
      <c r="AA318" s="82" t="str">
        <f t="shared" si="180"/>
        <v/>
      </c>
      <c r="AB318" s="83" t="str">
        <f t="shared" si="181"/>
        <v/>
      </c>
      <c r="AC318" s="842" t="str">
        <f t="shared" si="182"/>
        <v/>
      </c>
      <c r="AD318" s="163" t="str">
        <f t="shared" si="183"/>
        <v/>
      </c>
      <c r="AE318" s="164" t="str">
        <f t="shared" si="184"/>
        <v/>
      </c>
      <c r="AF318" s="855" t="str">
        <f t="shared" si="185"/>
        <v/>
      </c>
      <c r="AH318" s="84" t="str">
        <f t="shared" si="186"/>
        <v/>
      </c>
      <c r="AI318" s="85" t="str">
        <f t="shared" si="187"/>
        <v/>
      </c>
      <c r="AJ318" s="84" t="str">
        <f t="shared" si="188"/>
        <v/>
      </c>
      <c r="AK318" s="84" t="str">
        <f t="shared" si="189"/>
        <v/>
      </c>
      <c r="AL318" s="84" t="str">
        <f t="shared" si="190"/>
        <v/>
      </c>
      <c r="AM318" s="84" t="str">
        <f>IF(C317="","",R307)</f>
        <v/>
      </c>
      <c r="AN318" s="84" t="str">
        <f t="shared" si="191"/>
        <v/>
      </c>
      <c r="AO318" s="84" t="str">
        <f t="shared" si="192"/>
        <v/>
      </c>
      <c r="AP318" s="84" t="str">
        <f t="shared" si="193"/>
        <v/>
      </c>
      <c r="AQ318" s="84" t="str">
        <f t="shared" si="194"/>
        <v/>
      </c>
      <c r="AR318" s="84" t="str">
        <f t="shared" si="195"/>
        <v/>
      </c>
      <c r="AS318" s="84" t="str">
        <f t="shared" si="196"/>
        <v/>
      </c>
    </row>
    <row r="319" spans="1:45" ht="24.95" customHeight="1">
      <c r="A319" s="712"/>
      <c r="B319" s="162"/>
      <c r="C319" s="70"/>
      <c r="D319" s="79"/>
      <c r="E319" s="3"/>
      <c r="F319" s="72"/>
      <c r="G319" s="159"/>
      <c r="H319" s="160"/>
      <c r="I319" s="161"/>
      <c r="J319" s="73" t="s">
        <v>243</v>
      </c>
      <c r="K319" s="73"/>
      <c r="L319" s="73"/>
      <c r="M319" s="74"/>
      <c r="N319" s="3"/>
      <c r="O319" s="39" t="s">
        <v>140</v>
      </c>
      <c r="V319" s="846" t="str">
        <f t="shared" si="176"/>
        <v/>
      </c>
      <c r="W319" s="848" t="str">
        <f t="shared" si="177"/>
        <v/>
      </c>
      <c r="X319" s="81" t="str">
        <f t="shared" si="178"/>
        <v/>
      </c>
      <c r="Y319" s="836" t="str">
        <f t="shared" si="179"/>
        <v/>
      </c>
      <c r="Z319" s="839" t="str">
        <f>IF(OR(C318="",AJ319&lt;&gt;"VOLUME",AN322=0),"","≈ "&amp;TEXT(ROUND(AN319/AN322*10*2,0)/2,"0.0")&amp;"/10")</f>
        <v/>
      </c>
      <c r="AA319" s="80" t="str">
        <f t="shared" si="180"/>
        <v/>
      </c>
      <c r="AB319" s="83" t="str">
        <f t="shared" si="181"/>
        <v/>
      </c>
      <c r="AC319" s="842" t="str">
        <f t="shared" si="182"/>
        <v/>
      </c>
      <c r="AD319" s="163" t="str">
        <f t="shared" si="183"/>
        <v/>
      </c>
      <c r="AE319" s="164" t="str">
        <f t="shared" si="184"/>
        <v/>
      </c>
      <c r="AF319" s="855" t="str">
        <f t="shared" si="185"/>
        <v/>
      </c>
      <c r="AH319" s="84" t="str">
        <f t="shared" si="186"/>
        <v/>
      </c>
      <c r="AI319" s="85" t="str">
        <f t="shared" si="187"/>
        <v/>
      </c>
      <c r="AJ319" s="84" t="str">
        <f t="shared" si="188"/>
        <v/>
      </c>
      <c r="AK319" s="84" t="str">
        <f t="shared" si="189"/>
        <v/>
      </c>
      <c r="AL319" s="84" t="str">
        <f t="shared" si="190"/>
        <v/>
      </c>
      <c r="AM319" s="84" t="str">
        <f>IF(C318="","",R307)</f>
        <v/>
      </c>
      <c r="AN319" s="84" t="str">
        <f t="shared" si="191"/>
        <v/>
      </c>
      <c r="AO319" s="84" t="str">
        <f t="shared" si="192"/>
        <v/>
      </c>
      <c r="AP319" s="84" t="str">
        <f t="shared" si="193"/>
        <v/>
      </c>
      <c r="AQ319" s="84" t="str">
        <f t="shared" si="194"/>
        <v/>
      </c>
      <c r="AR319" s="84" t="str">
        <f t="shared" si="195"/>
        <v/>
      </c>
      <c r="AS319" s="84" t="str">
        <f t="shared" si="196"/>
        <v/>
      </c>
    </row>
    <row r="320" spans="1:45" ht="24.95" customHeight="1">
      <c r="A320" s="712"/>
      <c r="B320" s="158"/>
      <c r="C320" s="70"/>
      <c r="D320" s="79"/>
      <c r="E320" s="3"/>
      <c r="F320" s="72"/>
      <c r="G320" s="159"/>
      <c r="H320" s="160"/>
      <c r="I320" s="161"/>
      <c r="J320" s="73" t="s">
        <v>6995</v>
      </c>
      <c r="K320" s="73"/>
      <c r="L320" s="73"/>
      <c r="M320" s="74"/>
      <c r="N320" s="3"/>
      <c r="O320" s="39" t="s">
        <v>331</v>
      </c>
      <c r="Q320" s="355" t="s">
        <v>558</v>
      </c>
      <c r="V320" s="847" t="str">
        <f t="shared" si="176"/>
        <v/>
      </c>
      <c r="W320" s="849" t="str">
        <f t="shared" si="177"/>
        <v/>
      </c>
      <c r="X320" s="86" t="str">
        <f t="shared" si="178"/>
        <v/>
      </c>
      <c r="Y320" s="837" t="str">
        <f t="shared" si="179"/>
        <v/>
      </c>
      <c r="Z320" s="840" t="str">
        <f>IF(OR(C319="",AJ320&lt;&gt;"VOLUME",AN322=0),"","≈ "&amp;TEXT(ROUND(AN320/AN322*10*2,0)/2,"0.0")&amp;"/10")</f>
        <v/>
      </c>
      <c r="AA320" s="87" t="str">
        <f t="shared" si="180"/>
        <v/>
      </c>
      <c r="AB320" s="88" t="str">
        <f t="shared" si="181"/>
        <v/>
      </c>
      <c r="AC320" s="843" t="str">
        <f t="shared" si="182"/>
        <v/>
      </c>
      <c r="AD320" s="88" t="str">
        <f t="shared" si="183"/>
        <v/>
      </c>
      <c r="AE320" s="88" t="str">
        <f t="shared" si="184"/>
        <v/>
      </c>
      <c r="AF320" s="834" t="str">
        <f t="shared" si="185"/>
        <v/>
      </c>
      <c r="AH320" s="84" t="str">
        <f t="shared" si="186"/>
        <v/>
      </c>
      <c r="AI320" s="85" t="str">
        <f t="shared" si="187"/>
        <v/>
      </c>
      <c r="AJ320" s="84" t="str">
        <f t="shared" si="188"/>
        <v/>
      </c>
      <c r="AK320" s="84" t="str">
        <f t="shared" si="189"/>
        <v/>
      </c>
      <c r="AL320" s="84" t="str">
        <f t="shared" si="190"/>
        <v/>
      </c>
      <c r="AM320" s="84" t="str">
        <f>IF(C319="","",R307)</f>
        <v/>
      </c>
      <c r="AN320" s="84" t="str">
        <f t="shared" si="191"/>
        <v/>
      </c>
      <c r="AO320" s="84" t="str">
        <f t="shared" si="192"/>
        <v/>
      </c>
      <c r="AP320" s="84" t="str">
        <f t="shared" si="193"/>
        <v/>
      </c>
      <c r="AQ320" s="84" t="str">
        <f t="shared" si="194"/>
        <v/>
      </c>
      <c r="AR320" s="84" t="str">
        <f t="shared" si="195"/>
        <v/>
      </c>
      <c r="AS320" s="84" t="str">
        <f t="shared" si="196"/>
        <v/>
      </c>
    </row>
    <row r="321" spans="1:45" ht="24.95" customHeight="1">
      <c r="A321" s="712"/>
      <c r="B321" s="14" t="s">
        <v>44</v>
      </c>
      <c r="C321" s="146" t="s">
        <v>198</v>
      </c>
      <c r="D321" s="89"/>
      <c r="E321" s="89"/>
      <c r="F321" s="89"/>
      <c r="G321" s="89"/>
      <c r="H321" s="89"/>
      <c r="I321" s="89"/>
      <c r="J321" s="89" t="s">
        <v>6996</v>
      </c>
      <c r="K321" s="89"/>
      <c r="L321" s="89"/>
      <c r="M321" s="90"/>
      <c r="N321" s="3"/>
      <c r="O321" s="39" t="s">
        <v>333</v>
      </c>
      <c r="Q321"/>
      <c r="V321" s="847" t="str">
        <f t="shared" si="176"/>
        <v/>
      </c>
      <c r="W321" s="849" t="str">
        <f t="shared" si="177"/>
        <v/>
      </c>
      <c r="X321" s="86" t="str">
        <f t="shared" si="178"/>
        <v/>
      </c>
      <c r="Y321" s="837" t="str">
        <f t="shared" si="179"/>
        <v/>
      </c>
      <c r="Z321" s="840" t="str">
        <f>IF(OR(C320="",AJ321&lt;&gt;"VOLUME",AN322=0),"","≈ "&amp;TEXT(ROUND(AN321/AN322*10*2,0)/2,"0.0")&amp;"/10")</f>
        <v/>
      </c>
      <c r="AA321" s="87" t="str">
        <f t="shared" si="180"/>
        <v/>
      </c>
      <c r="AB321" s="88" t="str">
        <f t="shared" si="181"/>
        <v/>
      </c>
      <c r="AC321" s="843" t="str">
        <f t="shared" si="182"/>
        <v/>
      </c>
      <c r="AD321" s="88" t="str">
        <f t="shared" si="183"/>
        <v/>
      </c>
      <c r="AE321" s="88" t="str">
        <f t="shared" si="184"/>
        <v/>
      </c>
      <c r="AF321" s="834" t="str">
        <f t="shared" si="185"/>
        <v/>
      </c>
      <c r="AH321" s="84" t="str">
        <f t="shared" si="186"/>
        <v/>
      </c>
      <c r="AI321" s="85" t="str">
        <f t="shared" si="187"/>
        <v/>
      </c>
      <c r="AJ321" s="84" t="str">
        <f t="shared" si="188"/>
        <v/>
      </c>
      <c r="AK321" s="84" t="str">
        <f t="shared" si="189"/>
        <v/>
      </c>
      <c r="AL321" s="84" t="str">
        <f t="shared" si="190"/>
        <v/>
      </c>
      <c r="AM321" s="84" t="str">
        <f>IF(C320="","",R307)</f>
        <v/>
      </c>
      <c r="AN321" s="84" t="str">
        <f t="shared" si="191"/>
        <v/>
      </c>
      <c r="AO321" s="84" t="str">
        <f t="shared" si="192"/>
        <v/>
      </c>
      <c r="AP321" s="84" t="str">
        <f t="shared" si="193"/>
        <v/>
      </c>
      <c r="AQ321" s="84" t="str">
        <f t="shared" si="194"/>
        <v/>
      </c>
      <c r="AR321" s="84" t="str">
        <f t="shared" si="195"/>
        <v/>
      </c>
      <c r="AS321" s="84" t="str">
        <f t="shared" si="196"/>
        <v/>
      </c>
    </row>
    <row r="322" spans="1:45" ht="24.95" customHeight="1">
      <c r="A322" s="712"/>
      <c r="B322" s="91">
        <v>0</v>
      </c>
      <c r="C322" s="10" t="s">
        <v>491</v>
      </c>
      <c r="D322" s="11"/>
      <c r="E322" s="11"/>
      <c r="F322" s="11"/>
      <c r="G322" s="11"/>
      <c r="H322" s="11"/>
      <c r="I322" s="11"/>
      <c r="J322" s="11"/>
      <c r="K322" s="11"/>
      <c r="L322" s="11"/>
      <c r="M322" s="92"/>
      <c r="N322" s="3"/>
      <c r="O322" s="39" t="s">
        <v>334</v>
      </c>
      <c r="Q322" s="29" t="s">
        <v>70</v>
      </c>
      <c r="V322" s="851" t="s">
        <v>203</v>
      </c>
      <c r="W322" s="93"/>
      <c r="X322" s="845">
        <f>AN322</f>
        <v>0</v>
      </c>
      <c r="Y322" s="835" t="str">
        <f>IF(AN322=0,"",TEXT(AN322/1000,"0.000")&amp;" L")</f>
        <v/>
      </c>
      <c r="Z322" s="857"/>
      <c r="AA322" s="93"/>
      <c r="AB322" s="93"/>
      <c r="AC322" s="832">
        <f>AQ322</f>
        <v>0</v>
      </c>
      <c r="AD322" s="844" t="str">
        <f>IF(AN322=0,"",AQ322/AN322*100)</f>
        <v/>
      </c>
      <c r="AE322" s="93"/>
      <c r="AF322" s="856">
        <f>AR322</f>
        <v>0</v>
      </c>
      <c r="AH322" s="94" t="s">
        <v>203</v>
      </c>
      <c r="AI322" s="94"/>
      <c r="AJ322" s="94"/>
      <c r="AK322" s="94"/>
      <c r="AL322" s="94"/>
      <c r="AM322" s="94"/>
      <c r="AN322" s="94">
        <f>SUMIF(AJ315:AJ321,"VOLUME",AN315:AN321)</f>
        <v>0</v>
      </c>
      <c r="AO322" s="94"/>
      <c r="AP322" s="94"/>
      <c r="AQ322" s="94">
        <f>SUM(AQ315:AQ321)</f>
        <v>0</v>
      </c>
      <c r="AR322" s="94">
        <f>SUM(AR315:AR321)</f>
        <v>0</v>
      </c>
      <c r="AS322" s="94" t="str">
        <f>IF(COUNTIF(AS315:AS321,"&lt;&gt;OK")-COUNTBLANK(AS315:AS321)=0,"OK","À CONTRÔLER")</f>
        <v>OK</v>
      </c>
    </row>
    <row r="323" spans="1:45" ht="24.95" customHeight="1">
      <c r="A323" s="712"/>
      <c r="B323" s="95">
        <v>1</v>
      </c>
      <c r="C323" s="96" t="s">
        <v>206</v>
      </c>
      <c r="D323" s="96"/>
      <c r="E323" s="96"/>
      <c r="F323" s="96"/>
      <c r="G323" s="96"/>
      <c r="H323" s="96"/>
      <c r="I323" s="96"/>
      <c r="J323" s="96"/>
      <c r="K323" s="96"/>
      <c r="L323" s="96"/>
      <c r="M323" s="74"/>
      <c r="N323" s="3"/>
      <c r="O323" s="39" t="s">
        <v>336</v>
      </c>
      <c r="Q323" s="184"/>
      <c r="V323" s="832" t="s">
        <v>208</v>
      </c>
      <c r="W323" s="19" t="s">
        <v>209</v>
      </c>
      <c r="X323" s="36"/>
      <c r="Y323" s="858"/>
      <c r="Z323" s="859"/>
      <c r="AA323" s="97"/>
      <c r="AB323" s="97"/>
      <c r="AC323" s="97"/>
      <c r="AD323" s="97"/>
      <c r="AE323" s="97"/>
      <c r="AF323" s="860"/>
      <c r="AH323" s="3" t="s">
        <v>6994</v>
      </c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</row>
    <row r="324" spans="1:45" ht="24.95" customHeight="1">
      <c r="A324" s="712"/>
      <c r="B324" s="95">
        <v>2</v>
      </c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74"/>
      <c r="N324" s="3"/>
      <c r="O324" s="39" t="s">
        <v>338</v>
      </c>
      <c r="P324" s="3"/>
      <c r="Q324" s="29" t="s">
        <v>584</v>
      </c>
      <c r="V324" s="98" t="str">
        <f t="shared" ref="V324:V331" si="197">IF(C323="","",C323)</f>
        <v>Préparer le verre et le poste de travail.</v>
      </c>
      <c r="W324" s="98"/>
      <c r="X324" s="98"/>
      <c r="Y324" s="98"/>
      <c r="Z324" s="98"/>
      <c r="AA324" s="98"/>
      <c r="AB324" s="98"/>
      <c r="AC324" s="98"/>
      <c r="AD324" s="98"/>
      <c r="AE324" s="98"/>
      <c r="AF324" s="98"/>
      <c r="AH324" s="146" t="s">
        <v>214</v>
      </c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3"/>
    </row>
    <row r="325" spans="1:45" ht="24.95" customHeight="1">
      <c r="A325" s="712"/>
      <c r="B325" s="95">
        <v>3</v>
      </c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74"/>
      <c r="N325" s="3"/>
      <c r="O325" s="39" t="s">
        <v>339</v>
      </c>
      <c r="P325" s="3"/>
      <c r="Q325"/>
      <c r="R325" s="3"/>
      <c r="S325" s="3"/>
      <c r="T325" s="3"/>
      <c r="U325" s="3"/>
      <c r="V325" s="98" t="str">
        <f t="shared" si="197"/>
        <v/>
      </c>
      <c r="W325" s="98"/>
      <c r="X325" s="98"/>
      <c r="Y325" s="98"/>
      <c r="Z325" s="98"/>
      <c r="AA325" s="98"/>
      <c r="AB325" s="98"/>
      <c r="AC325" s="98"/>
      <c r="AD325" s="98"/>
      <c r="AE325" s="98"/>
      <c r="AF325" s="98"/>
      <c r="AH325" s="165" t="s">
        <v>219</v>
      </c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</row>
    <row r="326" spans="1:45" ht="24.95" customHeight="1">
      <c r="A326" s="712"/>
      <c r="B326" s="95">
        <v>4</v>
      </c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74"/>
      <c r="N326" s="3"/>
      <c r="O326" s="39" t="s">
        <v>340</v>
      </c>
      <c r="P326" s="3"/>
      <c r="Q326" s="356" t="s">
        <v>564</v>
      </c>
      <c r="R326" s="3"/>
      <c r="S326" s="3"/>
      <c r="T326" s="3"/>
      <c r="U326" s="3"/>
      <c r="V326" s="98" t="str">
        <f t="shared" si="197"/>
        <v/>
      </c>
      <c r="W326" s="98"/>
      <c r="X326" s="98"/>
      <c r="Y326" s="98"/>
      <c r="Z326" s="98"/>
      <c r="AA326" s="98"/>
      <c r="AB326" s="98"/>
      <c r="AC326" s="98"/>
      <c r="AD326" s="98"/>
      <c r="AE326" s="98"/>
      <c r="AF326" s="98"/>
      <c r="AH326" s="166" t="s">
        <v>222</v>
      </c>
      <c r="AI326" s="167" t="s">
        <v>223</v>
      </c>
      <c r="AJ326" s="165"/>
      <c r="AK326" s="167" t="s">
        <v>224</v>
      </c>
      <c r="AL326" s="165"/>
      <c r="AM326" s="165"/>
      <c r="AN326" s="165"/>
      <c r="AO326" s="167" t="s">
        <v>225</v>
      </c>
      <c r="AP326" s="165"/>
      <c r="AQ326" s="165"/>
      <c r="AR326" s="165"/>
    </row>
    <row r="327" spans="1:45" ht="24.95" customHeight="1">
      <c r="A327" s="712"/>
      <c r="B327" s="95">
        <v>5</v>
      </c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74"/>
      <c r="N327" s="3"/>
      <c r="O327" s="39" t="s">
        <v>175</v>
      </c>
      <c r="P327" s="3"/>
      <c r="Q327"/>
      <c r="R327" s="3"/>
      <c r="S327" s="3"/>
      <c r="T327" s="3"/>
      <c r="U327" s="3"/>
      <c r="V327" s="98" t="str">
        <f t="shared" si="197"/>
        <v/>
      </c>
      <c r="W327" s="98"/>
      <c r="X327" s="98"/>
      <c r="Y327" s="98"/>
      <c r="Z327" s="98"/>
      <c r="AA327" s="98"/>
      <c r="AB327" s="98"/>
      <c r="AC327" s="98"/>
      <c r="AD327" s="98"/>
      <c r="AE327" s="98"/>
      <c r="AF327" s="98"/>
      <c r="AH327" s="750" t="s">
        <v>156</v>
      </c>
      <c r="AI327" s="748" t="s">
        <v>230</v>
      </c>
      <c r="AJ327" s="748"/>
      <c r="AK327" s="749" t="s">
        <v>231</v>
      </c>
      <c r="AL327" s="749"/>
      <c r="AM327" s="749"/>
      <c r="AN327" s="749"/>
      <c r="AO327" s="746" t="s">
        <v>232</v>
      </c>
      <c r="AP327" s="746"/>
      <c r="AQ327" s="746"/>
      <c r="AR327" s="746"/>
    </row>
    <row r="328" spans="1:45" ht="24.95" customHeight="1">
      <c r="A328" s="712"/>
      <c r="B328" s="95">
        <v>6</v>
      </c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74"/>
      <c r="N328" s="3"/>
      <c r="O328" s="39" t="s">
        <v>341</v>
      </c>
      <c r="P328" s="3"/>
      <c r="Q328" s="356" t="s">
        <v>72</v>
      </c>
      <c r="R328" s="3"/>
      <c r="S328" s="3"/>
      <c r="T328" s="3"/>
      <c r="U328" s="3"/>
      <c r="V328" s="98" t="str">
        <f t="shared" si="197"/>
        <v/>
      </c>
      <c r="W328" s="98"/>
      <c r="X328" s="98"/>
      <c r="Y328" s="98"/>
      <c r="Z328" s="98"/>
      <c r="AA328" s="98"/>
      <c r="AB328" s="98"/>
      <c r="AC328" s="98"/>
      <c r="AD328" s="98"/>
      <c r="AE328" s="98"/>
      <c r="AF328" s="98"/>
      <c r="AH328" s="750"/>
      <c r="AI328" s="748"/>
      <c r="AJ328" s="748"/>
      <c r="AK328" s="749"/>
      <c r="AL328" s="749"/>
      <c r="AM328" s="749"/>
      <c r="AN328" s="749"/>
      <c r="AO328" s="746"/>
      <c r="AP328" s="746"/>
      <c r="AQ328" s="746"/>
      <c r="AR328" s="746"/>
    </row>
    <row r="329" spans="1:45" ht="24.95" customHeight="1">
      <c r="A329" s="712"/>
      <c r="B329" s="95">
        <v>7</v>
      </c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74"/>
      <c r="N329" s="3"/>
      <c r="O329" s="39" t="s">
        <v>344</v>
      </c>
      <c r="P329" s="3"/>
      <c r="Q329"/>
      <c r="R329" s="3"/>
      <c r="S329" s="3"/>
      <c r="T329" s="3"/>
      <c r="U329" s="3"/>
      <c r="V329" s="98" t="str">
        <f t="shared" si="197"/>
        <v/>
      </c>
      <c r="W329" s="98"/>
      <c r="X329" s="98"/>
      <c r="Y329" s="98"/>
      <c r="Z329" s="98"/>
      <c r="AA329" s="98"/>
      <c r="AB329" s="98"/>
      <c r="AC329" s="98"/>
      <c r="AD329" s="98"/>
      <c r="AE329" s="98"/>
      <c r="AF329" s="98"/>
      <c r="AH329" s="747" t="s">
        <v>492</v>
      </c>
      <c r="AI329" s="748" t="s">
        <v>241</v>
      </c>
      <c r="AJ329" s="748"/>
      <c r="AK329" s="749" t="s">
        <v>242</v>
      </c>
      <c r="AL329" s="749"/>
      <c r="AM329" s="749"/>
      <c r="AN329" s="749"/>
      <c r="AO329" s="746" t="s">
        <v>243</v>
      </c>
      <c r="AP329" s="746"/>
      <c r="AQ329" s="746"/>
      <c r="AR329" s="746"/>
    </row>
    <row r="330" spans="1:45" ht="24.95" customHeight="1">
      <c r="A330" s="712"/>
      <c r="B330" s="95">
        <v>8</v>
      </c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74"/>
      <c r="N330" s="3"/>
      <c r="O330" s="39" t="s">
        <v>179</v>
      </c>
      <c r="P330" s="3"/>
      <c r="Q330" s="356" t="s">
        <v>602</v>
      </c>
      <c r="R330" s="3"/>
      <c r="S330" s="3"/>
      <c r="T330" s="3"/>
      <c r="U330" s="3"/>
      <c r="V330" s="98" t="str">
        <f t="shared" si="197"/>
        <v/>
      </c>
      <c r="W330" s="98"/>
      <c r="X330" s="98"/>
      <c r="Y330" s="98"/>
      <c r="Z330" s="98"/>
      <c r="AA330" s="98"/>
      <c r="AB330" s="98"/>
      <c r="AC330" s="98"/>
      <c r="AD330" s="98"/>
      <c r="AE330" s="98"/>
      <c r="AF330" s="98"/>
      <c r="AH330" s="747"/>
      <c r="AI330" s="748"/>
      <c r="AJ330" s="748"/>
      <c r="AK330" s="749"/>
      <c r="AL330" s="749"/>
      <c r="AM330" s="749"/>
      <c r="AN330" s="749"/>
      <c r="AO330" s="746"/>
      <c r="AP330" s="746"/>
      <c r="AQ330" s="746"/>
      <c r="AR330" s="746"/>
    </row>
    <row r="331" spans="1:45" ht="24.95" customHeight="1">
      <c r="A331" s="712"/>
      <c r="B331" s="101"/>
      <c r="C331" s="89"/>
      <c r="D331" s="89"/>
      <c r="E331" s="89"/>
      <c r="F331" s="89"/>
      <c r="G331" s="89"/>
      <c r="H331" s="89"/>
      <c r="I331" s="89"/>
      <c r="J331" s="89"/>
      <c r="K331" s="89"/>
      <c r="L331" s="89"/>
      <c r="M331" s="90"/>
      <c r="N331" s="3"/>
      <c r="O331" s="39" t="s">
        <v>349</v>
      </c>
      <c r="P331" s="3"/>
      <c r="Q331" s="183"/>
      <c r="R331" s="3"/>
      <c r="S331" s="3"/>
      <c r="T331" s="3"/>
      <c r="U331" s="3"/>
      <c r="V331" s="98" t="str">
        <f t="shared" si="197"/>
        <v/>
      </c>
      <c r="W331" s="98"/>
      <c r="X331" s="98"/>
      <c r="Y331" s="98"/>
      <c r="Z331" s="98"/>
      <c r="AA331" s="98"/>
      <c r="AB331" s="98"/>
      <c r="AC331" s="98"/>
      <c r="AD331" s="98"/>
      <c r="AE331" s="98"/>
      <c r="AF331" s="98"/>
      <c r="AH331" s="750" t="s">
        <v>6993</v>
      </c>
      <c r="AI331" s="748" t="s">
        <v>252</v>
      </c>
      <c r="AJ331" s="748"/>
      <c r="AK331" s="749" t="s">
        <v>253</v>
      </c>
      <c r="AL331" s="749"/>
      <c r="AM331" s="749"/>
      <c r="AN331" s="749"/>
      <c r="AO331" s="746" t="s">
        <v>254</v>
      </c>
      <c r="AP331" s="746"/>
      <c r="AQ331" s="746"/>
      <c r="AR331" s="746"/>
    </row>
    <row r="332" spans="1:45" ht="24.95" customHeight="1">
      <c r="A332" s="712"/>
      <c r="B332" s="10" t="s">
        <v>258</v>
      </c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92"/>
      <c r="N332" s="3"/>
      <c r="O332" s="39" t="s">
        <v>342</v>
      </c>
      <c r="P332" s="3"/>
      <c r="Q332" s="356" t="s">
        <v>609</v>
      </c>
      <c r="R332" s="3"/>
      <c r="S332" s="3"/>
      <c r="T332" s="3"/>
      <c r="U332" s="3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H332" s="750"/>
      <c r="AI332" s="748"/>
      <c r="AJ332" s="748"/>
      <c r="AK332" s="749"/>
      <c r="AL332" s="749"/>
      <c r="AM332" s="749"/>
      <c r="AN332" s="749"/>
      <c r="AO332" s="746"/>
      <c r="AP332" s="746"/>
      <c r="AQ332" s="746"/>
      <c r="AR332" s="746"/>
    </row>
    <row r="333" spans="1:45" ht="24.95" customHeight="1">
      <c r="A333" s="712"/>
      <c r="B333" s="102" t="s">
        <v>259</v>
      </c>
      <c r="C333" s="73" t="s">
        <v>6671</v>
      </c>
      <c r="D333" s="73"/>
      <c r="E333" s="73"/>
      <c r="F333" s="73"/>
      <c r="G333" s="73"/>
      <c r="H333" s="73"/>
      <c r="I333" s="73"/>
      <c r="J333" s="73"/>
      <c r="K333" s="73"/>
      <c r="L333" s="73"/>
      <c r="M333" s="74"/>
      <c r="N333" s="3"/>
      <c r="O333" s="39" t="s">
        <v>265</v>
      </c>
      <c r="P333" s="3"/>
      <c r="R333" s="3"/>
      <c r="S333" s="3"/>
      <c r="T333" s="3"/>
      <c r="U333" s="3"/>
      <c r="V333" s="103" t="s">
        <v>260</v>
      </c>
      <c r="W333" s="103" t="s">
        <v>209</v>
      </c>
      <c r="X333" s="103"/>
      <c r="Y333" s="103"/>
      <c r="Z333" s="103"/>
      <c r="AA333" s="103"/>
      <c r="AB333" s="103"/>
      <c r="AC333" s="103"/>
      <c r="AD333" s="103"/>
      <c r="AE333" s="103"/>
      <c r="AF333" s="103"/>
      <c r="AH333" s="171" t="s">
        <v>261</v>
      </c>
      <c r="AI333" s="172"/>
      <c r="AJ333" s="165"/>
      <c r="AK333" s="165"/>
      <c r="AL333" s="165"/>
      <c r="AM333" s="165"/>
      <c r="AN333" s="165"/>
      <c r="AO333" s="165"/>
      <c r="AP333" s="165"/>
      <c r="AQ333" s="165"/>
      <c r="AR333" s="165"/>
    </row>
    <row r="334" spans="1:45" ht="24.95" customHeight="1">
      <c r="A334" s="712"/>
      <c r="B334" s="102" t="s">
        <v>262</v>
      </c>
      <c r="C334" s="73" t="s">
        <v>263</v>
      </c>
      <c r="D334" s="73"/>
      <c r="E334" s="73"/>
      <c r="F334" s="73"/>
      <c r="G334" s="73"/>
      <c r="H334" s="73"/>
      <c r="I334" s="73"/>
      <c r="J334" s="73"/>
      <c r="K334" s="73"/>
      <c r="L334" s="73"/>
      <c r="M334" s="74"/>
      <c r="N334" s="3"/>
      <c r="O334" s="39" t="s">
        <v>183</v>
      </c>
      <c r="P334" s="3"/>
      <c r="Q334" s="3"/>
      <c r="R334" s="3"/>
      <c r="S334" s="3"/>
      <c r="T334" s="3"/>
      <c r="U334" s="3"/>
      <c r="V334" s="98" t="str">
        <f>IF(C333="","",C333)</f>
        <v>Exemple &gt; Tumbler (Old Fashioned)</v>
      </c>
      <c r="W334" s="98"/>
      <c r="X334" s="98"/>
      <c r="Y334" s="98"/>
      <c r="Z334" s="98"/>
      <c r="AA334" s="98"/>
      <c r="AB334" s="98"/>
      <c r="AC334" s="98"/>
      <c r="AD334" s="98"/>
      <c r="AE334" s="98"/>
      <c r="AF334" s="98"/>
      <c r="AH334" s="172" t="s">
        <v>264</v>
      </c>
      <c r="AI334" s="172"/>
      <c r="AJ334" s="165"/>
      <c r="AK334" s="172"/>
      <c r="AL334" s="165"/>
      <c r="AM334" s="165"/>
      <c r="AN334" s="165"/>
      <c r="AO334" s="172"/>
      <c r="AP334" s="165"/>
      <c r="AQ334" s="165"/>
      <c r="AR334" s="165"/>
    </row>
    <row r="335" spans="1:45" ht="24.95" customHeight="1">
      <c r="A335" s="712"/>
      <c r="B335" s="104" t="s">
        <v>267</v>
      </c>
      <c r="C335" s="105"/>
      <c r="D335" s="73"/>
      <c r="E335" s="73"/>
      <c r="F335" s="73"/>
      <c r="G335" s="73"/>
      <c r="H335" s="73"/>
      <c r="I335" s="73"/>
      <c r="J335" s="73"/>
      <c r="K335" s="73"/>
      <c r="L335" s="73"/>
      <c r="M335" s="74"/>
      <c r="N335" s="3"/>
      <c r="O335" s="39" t="s">
        <v>187</v>
      </c>
      <c r="P335" s="3"/>
      <c r="Q335" s="3"/>
      <c r="R335" s="3"/>
      <c r="S335" s="3"/>
      <c r="T335" s="3"/>
      <c r="U335" s="3"/>
      <c r="V335" s="98" t="str">
        <f>IF(C334="","",C334)</f>
        <v>Doseur / jigger ; cuillère à mélange ; bec verseur ; pince à glaçons</v>
      </c>
      <c r="W335" s="98"/>
      <c r="X335" s="98"/>
      <c r="Y335" s="98"/>
      <c r="Z335" s="98"/>
      <c r="AA335" s="98"/>
      <c r="AB335" s="98"/>
      <c r="AC335" s="98"/>
      <c r="AD335" s="98"/>
      <c r="AE335" s="98"/>
      <c r="AF335" s="98"/>
      <c r="AH335" s="172" t="s">
        <v>269</v>
      </c>
      <c r="AI335" s="172"/>
      <c r="AJ335" s="173"/>
      <c r="AK335" s="173"/>
      <c r="AL335" s="165"/>
      <c r="AM335" s="165"/>
      <c r="AN335" s="165"/>
      <c r="AO335" s="165"/>
      <c r="AP335" s="165"/>
      <c r="AQ335" s="165"/>
      <c r="AR335" s="165"/>
    </row>
    <row r="336" spans="1:45" ht="24.95" customHeight="1">
      <c r="A336" s="712"/>
      <c r="N336" s="3"/>
      <c r="O336" s="39" t="s">
        <v>345</v>
      </c>
      <c r="P336" s="3"/>
      <c r="Q336" s="3"/>
      <c r="R336" s="3"/>
      <c r="S336" s="3"/>
      <c r="T336" s="3"/>
      <c r="U336" s="3"/>
      <c r="V336" s="98" t="str">
        <f>IF(C335="","",C335)</f>
        <v/>
      </c>
      <c r="W336" s="98"/>
      <c r="X336" s="98"/>
      <c r="Y336" s="98"/>
      <c r="Z336" s="98"/>
      <c r="AA336" s="98"/>
      <c r="AB336" s="98"/>
      <c r="AC336" s="98"/>
      <c r="AD336" s="98"/>
      <c r="AE336" s="98"/>
      <c r="AF336" s="98"/>
      <c r="AH336" s="168" t="s">
        <v>274</v>
      </c>
      <c r="AI336" s="165"/>
      <c r="AJ336" s="173"/>
      <c r="AK336" s="173"/>
      <c r="AL336" s="165"/>
      <c r="AM336" s="165"/>
      <c r="AN336" s="165"/>
      <c r="AO336" s="165"/>
      <c r="AP336" s="165"/>
      <c r="AQ336" s="165"/>
      <c r="AR336" s="165"/>
    </row>
    <row r="337" spans="1:45" ht="24.95" customHeight="1">
      <c r="A337" s="713"/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7" t="s">
        <v>272</v>
      </c>
      <c r="N337" s="3"/>
      <c r="O337" s="39" t="s">
        <v>347</v>
      </c>
      <c r="P337" s="3"/>
      <c r="Q337" s="3"/>
      <c r="R337" s="3"/>
      <c r="S337" s="3"/>
      <c r="T337" s="3"/>
      <c r="U337" s="3"/>
      <c r="V337" s="108" t="s">
        <v>277</v>
      </c>
      <c r="W337" s="108"/>
      <c r="X337" s="108"/>
      <c r="Y337" s="108"/>
      <c r="Z337" s="108"/>
      <c r="AA337" s="108"/>
      <c r="AB337" s="108"/>
      <c r="AC337" s="108"/>
      <c r="AD337" s="108"/>
      <c r="AE337" s="108"/>
      <c r="AF337" s="109" t="s">
        <v>277</v>
      </c>
      <c r="AH337" s="168" t="s">
        <v>278</v>
      </c>
      <c r="AI337" s="172"/>
      <c r="AJ337" s="173"/>
      <c r="AK337" s="173"/>
      <c r="AL337" s="165"/>
      <c r="AM337" s="165"/>
      <c r="AN337" s="165"/>
      <c r="AO337" s="165"/>
      <c r="AP337" s="165"/>
      <c r="AQ337" s="165"/>
      <c r="AR337" s="165"/>
    </row>
    <row r="338" spans="1:45" ht="24.95" customHeight="1">
      <c r="A338" s="715"/>
      <c r="B338" s="716"/>
      <c r="C338" s="716"/>
      <c r="D338" s="716"/>
      <c r="E338" s="716"/>
      <c r="F338" s="716"/>
      <c r="G338" s="716"/>
      <c r="H338" s="716"/>
      <c r="I338" s="716"/>
      <c r="J338" s="716"/>
      <c r="K338" s="716"/>
      <c r="L338" s="716"/>
      <c r="M338" s="716"/>
      <c r="N338" s="717"/>
      <c r="O338" s="39" t="s">
        <v>191</v>
      </c>
      <c r="P338" s="717"/>
      <c r="Q338" s="3"/>
      <c r="R338" s="3"/>
      <c r="S338" s="3"/>
      <c r="T338" s="3"/>
      <c r="U338" s="719"/>
      <c r="V338" s="761"/>
      <c r="W338" s="761"/>
      <c r="X338" s="761"/>
      <c r="Y338" s="720"/>
      <c r="Z338" s="721"/>
      <c r="AA338" s="721"/>
      <c r="AB338" s="721"/>
      <c r="AC338" s="721"/>
      <c r="AD338" s="721"/>
      <c r="AE338" s="721"/>
      <c r="AF338" s="721"/>
      <c r="AG338" s="719"/>
      <c r="AH338" s="718"/>
      <c r="AI338" s="718"/>
      <c r="AJ338" s="718"/>
      <c r="AK338" s="718"/>
      <c r="AL338" s="718"/>
      <c r="AM338" s="722"/>
      <c r="AN338" s="722"/>
      <c r="AO338" s="722"/>
      <c r="AP338" s="722"/>
      <c r="AQ338" s="722"/>
      <c r="AR338" s="722"/>
      <c r="AS338" s="722"/>
    </row>
    <row r="339" spans="1:45" ht="24.95" customHeight="1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9" t="s">
        <v>194</v>
      </c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</row>
    <row r="340" spans="1:45" ht="24.95" customHeight="1">
      <c r="A340" s="149" t="s">
        <v>59</v>
      </c>
      <c r="B340" s="711" t="s">
        <v>60</v>
      </c>
      <c r="C340" s="711"/>
      <c r="D340" s="711"/>
      <c r="E340" s="711"/>
      <c r="F340" s="711"/>
      <c r="G340" s="711"/>
      <c r="H340" s="711"/>
      <c r="I340" s="711"/>
      <c r="J340" s="711"/>
      <c r="K340" s="711"/>
      <c r="L340" s="711"/>
      <c r="M340" s="711"/>
      <c r="N340" s="3"/>
      <c r="O340" s="39" t="s">
        <v>350</v>
      </c>
      <c r="P340" s="3"/>
      <c r="Q340" s="10" t="s">
        <v>61</v>
      </c>
      <c r="R340" s="10"/>
      <c r="S340" s="10"/>
      <c r="T340" s="10"/>
      <c r="V340" s="861" t="s">
        <v>62</v>
      </c>
      <c r="W340" s="861"/>
      <c r="X340" s="861"/>
      <c r="Y340" s="23" t="s">
        <v>63</v>
      </c>
      <c r="Z340" s="24"/>
      <c r="AA340" s="24"/>
      <c r="AB340" s="24"/>
      <c r="AC340" s="24"/>
      <c r="AD340" s="24"/>
      <c r="AE340" s="24"/>
      <c r="AF340" s="24"/>
      <c r="AH340" s="25" t="s">
        <v>64</v>
      </c>
      <c r="AI340" s="25"/>
      <c r="AJ340" s="25" t="s">
        <v>65</v>
      </c>
      <c r="AK340" s="25"/>
      <c r="AL340" s="25"/>
      <c r="AM340" s="26"/>
      <c r="AN340" s="26"/>
      <c r="AO340" s="26"/>
      <c r="AP340" s="26"/>
      <c r="AQ340" s="26"/>
      <c r="AR340" s="26"/>
      <c r="AS340" s="26"/>
    </row>
    <row r="341" spans="1:45" ht="24.95" customHeight="1">
      <c r="A341" s="712"/>
      <c r="B341" s="27" t="s">
        <v>67</v>
      </c>
      <c r="C341" s="28" t="s">
        <v>7265</v>
      </c>
      <c r="D341" s="28"/>
      <c r="E341" s="27" t="s">
        <v>69</v>
      </c>
      <c r="F341" s="355" t="s">
        <v>558</v>
      </c>
      <c r="G341" s="30"/>
      <c r="H341" s="27" t="s">
        <v>71</v>
      </c>
      <c r="I341" s="356" t="s">
        <v>564</v>
      </c>
      <c r="J341" s="30"/>
      <c r="K341" s="27" t="s">
        <v>73</v>
      </c>
      <c r="L341" s="32" t="s">
        <v>6669</v>
      </c>
      <c r="M341" s="33"/>
      <c r="N341" s="3"/>
      <c r="O341" s="39" t="s">
        <v>363</v>
      </c>
      <c r="P341" s="3"/>
      <c r="Q341" s="14" t="s">
        <v>27</v>
      </c>
      <c r="R341" s="35">
        <v>10</v>
      </c>
      <c r="S341" s="15" t="s">
        <v>76</v>
      </c>
      <c r="T341" s="15"/>
      <c r="V341" s="831" t="s">
        <v>77</v>
      </c>
      <c r="W341" s="862" t="str">
        <f>C341</f>
        <v>NOM DU COCKTAIL N°10</v>
      </c>
      <c r="X341" s="862"/>
      <c r="Y341" s="862"/>
      <c r="Z341" s="36" t="s">
        <v>78</v>
      </c>
      <c r="AA341" s="24" t="str">
        <f>F341</f>
        <v>Avec ou sans Alcool</v>
      </c>
      <c r="AB341" s="24"/>
      <c r="AC341" s="831" t="s">
        <v>71</v>
      </c>
      <c r="AD341" s="37" t="str">
        <f>I341</f>
        <v xml:space="preserve">Quand </v>
      </c>
      <c r="AE341" s="831" t="s">
        <v>73</v>
      </c>
      <c r="AF341" s="24" t="str">
        <f>L341</f>
        <v>TYPE DE COCKTAIL</v>
      </c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</row>
    <row r="342" spans="1:45" ht="24.95" customHeight="1">
      <c r="A342" s="712"/>
      <c r="B342" s="27" t="s">
        <v>80</v>
      </c>
      <c r="C342" s="38" t="s">
        <v>561</v>
      </c>
      <c r="D342" s="30"/>
      <c r="E342" s="27" t="s">
        <v>82</v>
      </c>
      <c r="F342" s="39" t="s">
        <v>83</v>
      </c>
      <c r="G342" s="30"/>
      <c r="H342" s="27" t="s">
        <v>84</v>
      </c>
      <c r="I342" s="40">
        <v>1</v>
      </c>
      <c r="J342" s="41" t="s">
        <v>83</v>
      </c>
      <c r="K342" s="41"/>
      <c r="L342" s="42" t="s">
        <v>76</v>
      </c>
      <c r="M342" s="33"/>
      <c r="N342" s="3"/>
      <c r="O342" s="39" t="s">
        <v>366</v>
      </c>
      <c r="Q342" s="14" t="s">
        <v>31</v>
      </c>
      <c r="R342" s="35"/>
      <c r="S342" s="15" t="s">
        <v>86</v>
      </c>
      <c r="T342" s="15"/>
      <c r="V342" s="44" t="s">
        <v>87</v>
      </c>
      <c r="W342" s="150" t="str">
        <f>R346</f>
        <v/>
      </c>
      <c r="X342" s="43" t="s">
        <v>88</v>
      </c>
      <c r="Y342" s="43"/>
      <c r="Z342" s="44" t="s">
        <v>89</v>
      </c>
      <c r="AA342" s="45">
        <f>R348</f>
        <v>0</v>
      </c>
      <c r="AB342" s="46" t="s">
        <v>90</v>
      </c>
      <c r="AC342" s="44" t="s">
        <v>91</v>
      </c>
      <c r="AD342" s="45">
        <f>R343</f>
        <v>10</v>
      </c>
      <c r="AE342" s="47" t="s">
        <v>92</v>
      </c>
      <c r="AF342" s="43" t="str">
        <f>R350</f>
        <v>NOMBRE DE COCKTAILS</v>
      </c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</row>
    <row r="343" spans="1:45" ht="24.95" customHeight="1">
      <c r="A343" s="712"/>
      <c r="B343" s="27" t="s">
        <v>94</v>
      </c>
      <c r="C343" s="151" t="s">
        <v>6670</v>
      </c>
      <c r="D343" s="30"/>
      <c r="E343" s="30"/>
      <c r="F343" s="30"/>
      <c r="G343" s="30"/>
      <c r="H343" s="27" t="s">
        <v>96</v>
      </c>
      <c r="I343" s="48">
        <v>15</v>
      </c>
      <c r="J343" s="152" t="s">
        <v>32</v>
      </c>
      <c r="K343" s="30"/>
      <c r="L343" s="30"/>
      <c r="M343" s="33"/>
      <c r="N343" s="3"/>
      <c r="O343" s="39" t="s">
        <v>369</v>
      </c>
      <c r="Q343" s="14" t="s">
        <v>98</v>
      </c>
      <c r="R343" s="49">
        <f>IF(AND(ISNUMBER(R342),R342&gt;0),IFERROR(R342*1000/R344,0),IF(AND(ISNUMBER(R341),R341&gt;0,ISNUMBER(I342),I342&gt;0),R341/I342,1))</f>
        <v>10</v>
      </c>
      <c r="S343" s="50" t="s">
        <v>99</v>
      </c>
      <c r="T343" s="50"/>
      <c r="V343" s="44" t="s">
        <v>100</v>
      </c>
      <c r="W343" s="51">
        <f>IF(R344="","",R344/10)</f>
        <v>0</v>
      </c>
      <c r="X343" s="46" t="s">
        <v>32</v>
      </c>
      <c r="Y343" s="43"/>
      <c r="Z343" s="44" t="s">
        <v>101</v>
      </c>
      <c r="AA343" s="45" t="str">
        <f>R345</f>
        <v/>
      </c>
      <c r="AB343" s="46" t="s">
        <v>32</v>
      </c>
      <c r="AC343" s="44" t="s">
        <v>102</v>
      </c>
      <c r="AD343" s="45">
        <f>R349</f>
        <v>10</v>
      </c>
      <c r="AE343" s="51"/>
      <c r="AF343" s="4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</row>
    <row r="344" spans="1:45" ht="24.95" customHeight="1">
      <c r="A344" s="712"/>
      <c r="B344" s="27"/>
      <c r="C344" s="52" t="str">
        <f>UPPER(LEFT(C341,1)) &amp; " . " &amp; UPPER(LEFT(C341,1)) &amp; LOWER(MID(C341,2,999)) &amp; " . " &amp; UPPER(LEFT(F341,1)) &amp; LOWER(MID(F341,2,999)) &amp; " . " &amp; UPPER(LEFT(I341,1)) &amp; LOWER(MID(I341,2,999)) &amp; " . " &amp; "Verre " &amp; UPPER(LEFT(F342,1)) &amp; LOWER(MID(F342,2,999)) &amp; IF(LEFT(L341,1)=UPPER(LEFT(L341,1)),".","") &amp; UPPER(LEFT(L341,1)) &amp; LOWER(MID(L341,2,999))&amp;"  couleur"&amp;" "&amp;C342&amp;"  intensité"&amp;" "&amp;C343</f>
        <v>N . Nom du cocktail n°10 . Avec ou sans alcool . Quand  . Verre Tumbler (old fashioned).Type de cocktail  couleur Couleur dominante à coller  intensité ****  précisez</v>
      </c>
      <c r="D344" s="52"/>
      <c r="E344" s="52"/>
      <c r="F344" s="52"/>
      <c r="G344" s="52"/>
      <c r="H344" s="52"/>
      <c r="I344" s="52"/>
      <c r="J344" s="52"/>
      <c r="K344" s="52"/>
      <c r="L344" s="30"/>
      <c r="M344" s="33"/>
      <c r="N344" s="3"/>
      <c r="O344" s="39" t="s">
        <v>362</v>
      </c>
      <c r="Q344" s="14" t="s">
        <v>105</v>
      </c>
      <c r="R344" s="49">
        <f>SUMIF(AJ351:AJ357,"VOLUME",AL351:AL357)</f>
        <v>0</v>
      </c>
      <c r="S344" s="50" t="s">
        <v>22</v>
      </c>
      <c r="T344" s="50"/>
      <c r="V344" s="44" t="s">
        <v>96</v>
      </c>
      <c r="W344" s="51">
        <f>I343</f>
        <v>15</v>
      </c>
      <c r="X344" s="46" t="str">
        <f>J343</f>
        <v>cl</v>
      </c>
      <c r="Y344" s="43"/>
      <c r="Z344" s="44" t="s">
        <v>82</v>
      </c>
      <c r="AA344" s="54" t="str">
        <f>F342</f>
        <v>Tumbler (Old Fashioned)</v>
      </c>
      <c r="AB344" s="43"/>
      <c r="AC344" s="44" t="s">
        <v>106</v>
      </c>
      <c r="AD344" s="45">
        <f>R351</f>
        <v>25</v>
      </c>
      <c r="AE344" s="46" t="s">
        <v>32</v>
      </c>
      <c r="AF344" s="4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</row>
    <row r="345" spans="1:45" ht="24.95" customHeight="1">
      <c r="A345" s="712"/>
      <c r="B345" s="27" t="s">
        <v>110</v>
      </c>
      <c r="C345" s="55" t="s">
        <v>579</v>
      </c>
      <c r="D345" s="55"/>
      <c r="E345" s="154"/>
      <c r="F345" s="154"/>
      <c r="G345" s="154"/>
      <c r="H345" s="154"/>
      <c r="I345" s="154"/>
      <c r="J345" s="154"/>
      <c r="K345" s="154"/>
      <c r="L345" s="30"/>
      <c r="M345" s="33"/>
      <c r="N345" s="3"/>
      <c r="O345" s="39" t="s">
        <v>364</v>
      </c>
      <c r="Q345" s="14" t="s">
        <v>113</v>
      </c>
      <c r="R345" s="49" t="str">
        <f>IF(OR(R344=0,NOT(ISNUMBER(I342)),I342&lt;=0),"",R344/I342/10)</f>
        <v/>
      </c>
      <c r="S345" s="50" t="s">
        <v>32</v>
      </c>
      <c r="T345" s="50"/>
      <c r="V345" s="44" t="s">
        <v>114</v>
      </c>
      <c r="W345" s="51" t="str">
        <f>IF(I343="","",IF(R351="","⚠ À CONTRÔLER",IF(I343&lt;=R351,"✔ OK","❌ DÉPASSE CAPACITÉ")))</f>
        <v>✔ OK</v>
      </c>
      <c r="X345" s="43"/>
      <c r="Y345" s="43"/>
      <c r="Z345" s="44"/>
      <c r="AA345" s="56"/>
      <c r="AB345" s="43"/>
      <c r="AC345" s="43"/>
      <c r="AD345" s="46"/>
      <c r="AE345" s="46"/>
      <c r="AF345" s="4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</row>
    <row r="346" spans="1:45" ht="24.95" customHeight="1">
      <c r="A346" s="712"/>
      <c r="B346" s="30"/>
      <c r="C346" s="30"/>
      <c r="D346" s="30"/>
      <c r="E346" s="30"/>
      <c r="F346" s="30"/>
      <c r="G346" s="30"/>
      <c r="H346" s="206"/>
      <c r="I346" s="30"/>
      <c r="J346" s="30"/>
      <c r="K346" s="30"/>
      <c r="L346" s="30"/>
      <c r="M346" s="33"/>
      <c r="N346" s="3"/>
      <c r="O346" s="39" t="s">
        <v>367</v>
      </c>
      <c r="Q346" s="14" t="s">
        <v>118</v>
      </c>
      <c r="R346" s="155" t="str">
        <f>IF(AN358=0,"",SUM(AQ351:AQ357)/AN358*100)</f>
        <v/>
      </c>
      <c r="S346" s="50" t="s">
        <v>88</v>
      </c>
      <c r="T346" s="50"/>
      <c r="V346" s="44" t="s">
        <v>110</v>
      </c>
      <c r="W346" s="46" t="str">
        <f>C345</f>
        <v>Description</v>
      </c>
      <c r="X346" s="43"/>
      <c r="Y346" s="43"/>
      <c r="Z346" s="44"/>
      <c r="AA346" s="56"/>
      <c r="AB346" s="43"/>
      <c r="AC346" s="43"/>
      <c r="AD346" s="46"/>
      <c r="AE346" s="46"/>
      <c r="AF346" s="4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</row>
    <row r="347" spans="1:45" ht="24.95" customHeight="1">
      <c r="A347" s="712"/>
      <c r="B347" s="57" t="s">
        <v>121</v>
      </c>
      <c r="C347" s="58" t="s">
        <v>568</v>
      </c>
      <c r="D347" s="58"/>
      <c r="E347" s="59"/>
      <c r="F347" s="57" t="s">
        <v>123</v>
      </c>
      <c r="G347" s="58"/>
      <c r="H347" s="60"/>
      <c r="I347" s="60"/>
      <c r="J347" s="61"/>
      <c r="K347" s="61"/>
      <c r="L347" s="61"/>
      <c r="M347" s="62"/>
      <c r="N347" s="3"/>
      <c r="O347" s="39" t="s">
        <v>352</v>
      </c>
      <c r="Q347" s="14" t="s">
        <v>126</v>
      </c>
      <c r="R347" s="156">
        <f>SUM(AR351:AR357)</f>
        <v>0</v>
      </c>
      <c r="S347" s="50" t="s">
        <v>90</v>
      </c>
      <c r="T347" s="50"/>
      <c r="V347" s="44" t="s">
        <v>121</v>
      </c>
      <c r="W347" s="46" t="str">
        <f>C347</f>
        <v>VOUS</v>
      </c>
      <c r="X347" s="43"/>
      <c r="Y347" s="43"/>
      <c r="Z347" s="44" t="s">
        <v>94</v>
      </c>
      <c r="AA347" s="54" t="str">
        <f>C343</f>
        <v>****  précisez</v>
      </c>
      <c r="AB347" s="43"/>
      <c r="AC347" s="759" t="str">
        <f>UPPER(LEFT(C341,1))&amp;" . "&amp;UPPER(LEFT(C341,1))&amp;LOWER(MID(C341,2,999))&amp;" . "&amp;UPPER(LEFT(F341,1))&amp;LOWER(MID(F341,2,999))&amp;" . "&amp;UPPER(LEFT(I341,1))&amp;LOWER(MID(I341,2,999))&amp;" . "&amp;"Verre "&amp;UPPER(LEFT(F342,1))&amp;LOWER(MID(F342,2,999))&amp;IF(LEFT(L341,1)=UPPER(LEFT(L341,1)),".","")&amp;UPPER(LEFT(L341,1))&amp;LOWER(MID(L341,2,999))&amp;"  couleur "&amp;C342&amp;"  intensité "&amp;C343</f>
        <v>N . Nom du cocktail n°10 . Avec ou sans alcool . Quand  . Verre Tumbler (old fashioned).Type de cocktail  couleur Couleur dominante à coller  intensité ****  précisez</v>
      </c>
      <c r="AD347" s="759"/>
      <c r="AE347" s="759"/>
      <c r="AF347" s="759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</row>
    <row r="348" spans="1:45" ht="24.95" customHeight="1">
      <c r="A348" s="712"/>
      <c r="B348" s="10" t="s">
        <v>131</v>
      </c>
      <c r="C348" s="10" t="s">
        <v>132</v>
      </c>
      <c r="D348" s="10"/>
      <c r="E348" s="10"/>
      <c r="F348" s="10"/>
      <c r="G348" s="10"/>
      <c r="H348" s="10"/>
      <c r="I348" s="10"/>
      <c r="J348" s="11" t="str">
        <f>IF(COUNTIF(C350:C356,"*~**")+COUNTIF(C350:C356,"*~?*")=0,"",IF(COUNTIF(C350:C356,"*~**")&gt;0,COUNTIF(C350:C356,"*~**")&amp;" allergène"&amp;IF(COUNTIF(C350:C356,"*~**")&gt;1,"s","")&amp;" repéré"&amp;IF(COUNTIF(C350:C356,"*~**")&gt;1,"s","")&amp;" par *","")&amp;IF(AND(COUNTIF(C350:C356,"*~**")&gt;0,COUNTIF(C350:C356,"*~?*")&gt;0)," | ","")&amp;IF(COUNTIF(C350:C356,"*~?*")&gt;0,COUNTIF(C350:C356,"*~?*")&amp;" produit"&amp;IF(COUNTIF(C350:C356,"*~?*")&gt;1,"s","")&amp;" à vérifier par ?",""))</f>
        <v/>
      </c>
      <c r="K348" s="10"/>
      <c r="L348" s="10"/>
      <c r="M348" s="63"/>
      <c r="N348" s="3"/>
      <c r="O348" s="39" t="s">
        <v>378</v>
      </c>
      <c r="Q348" s="14" t="s">
        <v>134</v>
      </c>
      <c r="R348" s="156">
        <f>IF(OR(R347="",R349="",R349=0),"",R347/R349)</f>
        <v>0</v>
      </c>
      <c r="S348" s="50" t="s">
        <v>135</v>
      </c>
      <c r="T348" s="50"/>
      <c r="V348" s="852" t="s">
        <v>136</v>
      </c>
      <c r="W348" s="853">
        <f>R347</f>
        <v>0</v>
      </c>
      <c r="X348" s="854" t="s">
        <v>90</v>
      </c>
      <c r="Y348" s="43"/>
      <c r="Z348" s="44" t="s">
        <v>137</v>
      </c>
      <c r="AA348" s="54" t="str">
        <f>C341</f>
        <v>NOM DU COCKTAIL N°10</v>
      </c>
      <c r="AB348" s="43"/>
      <c r="AC348" s="759"/>
      <c r="AD348" s="759"/>
      <c r="AE348" s="759"/>
      <c r="AF348" s="759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</row>
    <row r="349" spans="1:45" ht="24.95" customHeight="1">
      <c r="A349" s="712"/>
      <c r="B349" s="66">
        <v>0</v>
      </c>
      <c r="C349" s="64" t="s">
        <v>141</v>
      </c>
      <c r="D349" s="65" t="s">
        <v>142</v>
      </c>
      <c r="E349" s="64" t="s">
        <v>9</v>
      </c>
      <c r="F349" s="66" t="s">
        <v>143</v>
      </c>
      <c r="G349" s="66" t="s">
        <v>144</v>
      </c>
      <c r="H349" s="66" t="s">
        <v>145</v>
      </c>
      <c r="I349" s="67" t="s">
        <v>146</v>
      </c>
      <c r="J349" s="67" t="s">
        <v>847</v>
      </c>
      <c r="K349" s="67" t="s">
        <v>148</v>
      </c>
      <c r="L349" s="67" t="s">
        <v>149</v>
      </c>
      <c r="M349" s="68" t="s">
        <v>150</v>
      </c>
      <c r="N349" s="3"/>
      <c r="O349" s="39" t="s">
        <v>249</v>
      </c>
      <c r="Q349" s="14" t="s">
        <v>152</v>
      </c>
      <c r="R349" s="49">
        <f>IF(AND(ISNUMBER(R342),R342&gt;0,ISNUMBER(I343),I343&gt;0),R342*1000/(I343*10),IF(AND(ISNUMBER(R341),R341&gt;0),R341,""))</f>
        <v>10</v>
      </c>
      <c r="S349" s="50" t="s">
        <v>76</v>
      </c>
      <c r="T349" s="50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H349" s="25" t="s">
        <v>153</v>
      </c>
      <c r="AI349" s="25"/>
      <c r="AJ349" s="25" t="s">
        <v>490</v>
      </c>
      <c r="AK349" s="25"/>
      <c r="AL349" s="25"/>
      <c r="AM349" s="25"/>
      <c r="AN349" s="26"/>
      <c r="AO349" s="26"/>
      <c r="AP349" s="26"/>
      <c r="AQ349" s="26"/>
      <c r="AR349" s="26"/>
      <c r="AS349" s="26"/>
    </row>
    <row r="350" spans="1:45" ht="24.95" customHeight="1">
      <c r="A350" s="712"/>
      <c r="B350" s="158">
        <v>1</v>
      </c>
      <c r="C350" s="70"/>
      <c r="D350" s="79"/>
      <c r="E350" s="3"/>
      <c r="F350" s="72"/>
      <c r="G350" s="159"/>
      <c r="H350" s="160"/>
      <c r="I350" s="161"/>
      <c r="J350" s="73" t="s">
        <v>849</v>
      </c>
      <c r="K350" s="73"/>
      <c r="L350" s="73"/>
      <c r="M350" s="74"/>
      <c r="N350" s="3"/>
      <c r="O350" s="39" t="s">
        <v>380</v>
      </c>
      <c r="Q350" s="14" t="s">
        <v>158</v>
      </c>
      <c r="R350" s="75" t="str">
        <f>IF(AND(ISNUMBER(R342),R342&gt;0),"VOLUME TOTAL",IF(AND(ISNUMBER(R341),R341&gt;0),"NOMBRE DE COCKTAILS","RÉFÉRENCE"))</f>
        <v>NOMBRE DE COCKTAILS</v>
      </c>
      <c r="S350" s="50"/>
      <c r="T350" s="50"/>
      <c r="V350" s="831" t="s">
        <v>159</v>
      </c>
      <c r="W350" s="36" t="s">
        <v>160</v>
      </c>
      <c r="X350" s="76" t="s">
        <v>161</v>
      </c>
      <c r="Y350" s="835" t="s">
        <v>162</v>
      </c>
      <c r="Z350" s="838" t="s">
        <v>163</v>
      </c>
      <c r="AA350" s="36" t="s">
        <v>164</v>
      </c>
      <c r="AB350" s="36" t="s">
        <v>9</v>
      </c>
      <c r="AC350" s="841" t="s">
        <v>165</v>
      </c>
      <c r="AD350" s="296" t="s">
        <v>166</v>
      </c>
      <c r="AE350" s="36" t="s">
        <v>146</v>
      </c>
      <c r="AF350" s="833" t="s">
        <v>167</v>
      </c>
      <c r="AH350" s="77" t="s">
        <v>168</v>
      </c>
      <c r="AI350" s="78" t="s">
        <v>159</v>
      </c>
      <c r="AJ350" s="77" t="s">
        <v>10</v>
      </c>
      <c r="AK350" s="77" t="s">
        <v>169</v>
      </c>
      <c r="AL350" s="77" t="s">
        <v>170</v>
      </c>
      <c r="AM350" s="77" t="s">
        <v>91</v>
      </c>
      <c r="AN350" s="78" t="s">
        <v>161</v>
      </c>
      <c r="AO350" s="77" t="s">
        <v>171</v>
      </c>
      <c r="AP350" s="77" t="s">
        <v>172</v>
      </c>
      <c r="AQ350" s="77" t="s">
        <v>165</v>
      </c>
      <c r="AR350" s="77" t="s">
        <v>167</v>
      </c>
      <c r="AS350" s="77" t="s">
        <v>173</v>
      </c>
    </row>
    <row r="351" spans="1:45" ht="24.95" customHeight="1">
      <c r="A351" s="712"/>
      <c r="B351" s="162">
        <v>2</v>
      </c>
      <c r="C351" s="70"/>
      <c r="D351" s="79"/>
      <c r="E351" s="3"/>
      <c r="F351" s="72"/>
      <c r="G351" s="159"/>
      <c r="H351" s="160"/>
      <c r="I351" s="161"/>
      <c r="J351" s="73" t="s">
        <v>6989</v>
      </c>
      <c r="K351" s="73"/>
      <c r="L351" s="73"/>
      <c r="M351" s="74"/>
      <c r="N351" s="3"/>
      <c r="O351" s="39" t="s">
        <v>382</v>
      </c>
      <c r="Q351" s="14" t="s">
        <v>35</v>
      </c>
      <c r="R351" s="35">
        <f>IFERROR(VLOOKUP(F342,$BB$5:$BC$40,2,FALSE),"")</f>
        <v>25</v>
      </c>
      <c r="S351" s="50" t="s">
        <v>32</v>
      </c>
      <c r="T351" s="50"/>
      <c r="V351" s="846" t="str">
        <f t="shared" ref="V351:V357" si="198">IF(AI351="","",AI351)</f>
        <v/>
      </c>
      <c r="W351" s="848" t="str">
        <f t="shared" ref="W351:W357" si="199">IF(C350="","",IF(H350="QS","QS",D350&amp;" "&amp;E350))</f>
        <v/>
      </c>
      <c r="X351" s="81" t="str">
        <f t="shared" ref="X351:X357" si="200">IF(AN351="","",AN351)</f>
        <v/>
      </c>
      <c r="Y351" s="836" t="str">
        <f t="shared" ref="Y351:Y357" si="201">IF(C350="","",IF(H350="QS","Qt. suffisante",IF(AN351="","",IF(AJ351="VOLUME",IF(AN351&gt;=1000,TEXT(AO351,"0.00")&amp;" "&amp;AP351,IF(AN351&gt;=10,TEXT(AO351,"0.0")&amp;" "&amp;AP351&amp;" ► "&amp;TEXT(AN351/1000,"0.000")&amp;" L",TEXT(AO351,"0.0")&amp;" "&amp;AP351)),IF(AJ351="MASSE",TEXT(AO351,"0.00")&amp;" "&amp;AP351,AO351&amp;" "&amp;AP351)))))</f>
        <v/>
      </c>
      <c r="Z351" s="839" t="str">
        <f>IF(OR(C350="",AJ351&lt;&gt;"VOLUME",AN358=0),"","≈ "&amp;TEXT(ROUND(AN351/AN358*10*2,0)/2,"0.0")&amp;"/10")</f>
        <v/>
      </c>
      <c r="AA351" s="82" t="str">
        <f t="shared" ref="AA351:AA357" si="202">IF(AJ351="AUTRE",AO351,"")</f>
        <v/>
      </c>
      <c r="AB351" s="83" t="str">
        <f t="shared" ref="AB351:AB357" si="203">IF(C350="","",AP351)</f>
        <v/>
      </c>
      <c r="AC351" s="842" t="str">
        <f t="shared" ref="AC351:AC357" si="204">IF(C350="","",AQ351)</f>
        <v/>
      </c>
      <c r="AD351" s="163" t="str">
        <f t="shared" ref="AD351:AD357" si="205">IF(C350="","",IF(ISNUMBER(F350),F350,0))</f>
        <v/>
      </c>
      <c r="AE351" s="164" t="str">
        <f t="shared" ref="AE351:AE357" si="206">IF(C350="","",IF(ISNUMBER(I350),I350,""))</f>
        <v/>
      </c>
      <c r="AF351" s="855" t="str">
        <f t="shared" ref="AF351:AF357" si="207">IF(C350="","",AR351)</f>
        <v/>
      </c>
      <c r="AH351" s="84" t="str">
        <f t="shared" ref="AH351:AH357" si="208">IF(C350="","",B350)</f>
        <v/>
      </c>
      <c r="AI351" s="85" t="str">
        <f t="shared" ref="AI351:AI357" si="209">IF(C350="","",C350)</f>
        <v/>
      </c>
      <c r="AJ351" s="84" t="str">
        <f t="shared" ref="AJ351:AJ357" si="210">IF(C350="","",IFERROR(VLOOKUP(E350,$AU$5:$AY$121,2,FALSE),"UNITÉ ?"))</f>
        <v/>
      </c>
      <c r="AK351" s="84" t="str">
        <f t="shared" ref="AK351:AK357" si="211">IF(C350="","",IFERROR(VLOOKUP(E350,$AU$5:$AY$121,3,FALSE),""))</f>
        <v/>
      </c>
      <c r="AL351" s="84" t="str">
        <f t="shared" ref="AL351:AL357" si="212">IF(OR(C350="",H350="QS",NOT(ISNUMBER(D350))),"",D350*AK351)</f>
        <v/>
      </c>
      <c r="AM351" s="84" t="str">
        <f>IF(C350="","",R343)</f>
        <v/>
      </c>
      <c r="AN351" s="84" t="str">
        <f t="shared" ref="AN351:AN357" si="213">IF(C350="","",IF(H350="QS","",IF(AL351="","",IF(OR(H350="F",H350="FIXE"),AL351,AL351*AM351))))</f>
        <v/>
      </c>
      <c r="AO351" s="84" t="str">
        <f t="shared" ref="AO351:AO357" si="214">IF(C350="","",IF(H350="QS","",IF(AN351="","",IF(AJ351="VOLUME",IF(AN351&gt;=1000,ROUND(AN351/1000,2),IF(AN351&gt;=10,ROUND(AN351/10,1),ROUND(AN351,1))),IF(AJ351="MASSE",IF(AN351&gt;=1000,ROUND(AN351/1000,2),ROUND(AN351,0)),ROUND(AN351,2))))))</f>
        <v/>
      </c>
      <c r="AP351" s="84" t="str">
        <f t="shared" ref="AP351:AP357" si="215">IF(C350="","",IF(H350="QS","",IF(AN351="","",IF(AJ351="VOLUME",IF(AN351&gt;=1000,"L",IF(AN351&gt;=10,"cl","ml")),IF(AJ351="MASSE",IF(AN351&gt;=1000,"Kg","g"),IFERROR(VLOOKUP(E350,$AU$5:$AY$121,5,FALSE),E350))))))</f>
        <v/>
      </c>
      <c r="AQ351" s="84" t="str">
        <f t="shared" ref="AQ351:AQ357" si="216">IF(C350="","",IF(OR(AJ351&lt;&gt;"VOLUME",NOT(ISNUMBER(F350)),AN351=""),0,AN351*F350/100))</f>
        <v/>
      </c>
      <c r="AR351" s="84" t="str">
        <f t="shared" ref="AR351:AR357" si="217">IF(C350="","",IF(H350="QS",0,IF(NOT(ISNUMBER(I350)),0,IF(OR(AJ351="VOLUME",AJ351="MASSE"),AN351/1000*I350,AN351*I350))))</f>
        <v/>
      </c>
      <c r="AS351" s="84" t="str">
        <f t="shared" ref="AS351:AS357" si="218">IF(C350="","",IF(H350="QS","OK",IF(NOT(ISNUMBER(D350)),"QUANTITÉ ?",IF(E350="","UNITÉ ?",IF(AJ351="UNITÉ ?","UNITÉ ?",IF(AND(H350&lt;&gt;"",H350&lt;&gt;"PROP",H350&lt;&gt;"F",H350&lt;&gt;"FIXE",H350&lt;&gt;"QS"),"RÈGLE ?","OK"))))))</f>
        <v/>
      </c>
    </row>
    <row r="352" spans="1:45" ht="24.95" customHeight="1">
      <c r="A352" s="712"/>
      <c r="B352" s="158">
        <v>3</v>
      </c>
      <c r="C352" s="70"/>
      <c r="D352" s="79"/>
      <c r="E352" s="3"/>
      <c r="F352" s="72"/>
      <c r="G352" s="159"/>
      <c r="H352" s="160"/>
      <c r="I352" s="161"/>
      <c r="J352" s="73" t="s">
        <v>6990</v>
      </c>
      <c r="K352" s="73"/>
      <c r="L352" s="73"/>
      <c r="M352" s="74"/>
      <c r="N352" s="3"/>
      <c r="O352" s="39" t="s">
        <v>353</v>
      </c>
      <c r="V352" s="846" t="str">
        <f t="shared" si="198"/>
        <v/>
      </c>
      <c r="W352" s="848" t="str">
        <f t="shared" si="199"/>
        <v/>
      </c>
      <c r="X352" s="81" t="str">
        <f t="shared" si="200"/>
        <v/>
      </c>
      <c r="Y352" s="836" t="str">
        <f t="shared" si="201"/>
        <v/>
      </c>
      <c r="Z352" s="839" t="str">
        <f>IF(OR(C351="",AJ352&lt;&gt;"VOLUME",AN358=0),"","≈ "&amp;TEXT(ROUND(AN352/AN358*10*2,0)/2,"0.0")&amp;"/10")</f>
        <v/>
      </c>
      <c r="AA352" s="82" t="str">
        <f t="shared" si="202"/>
        <v/>
      </c>
      <c r="AB352" s="83" t="str">
        <f t="shared" si="203"/>
        <v/>
      </c>
      <c r="AC352" s="842" t="str">
        <f t="shared" si="204"/>
        <v/>
      </c>
      <c r="AD352" s="163" t="str">
        <f t="shared" si="205"/>
        <v/>
      </c>
      <c r="AE352" s="164" t="str">
        <f t="shared" si="206"/>
        <v/>
      </c>
      <c r="AF352" s="855" t="str">
        <f t="shared" si="207"/>
        <v/>
      </c>
      <c r="AH352" s="84" t="str">
        <f t="shared" si="208"/>
        <v/>
      </c>
      <c r="AI352" s="85" t="str">
        <f t="shared" si="209"/>
        <v/>
      </c>
      <c r="AJ352" s="84" t="str">
        <f t="shared" si="210"/>
        <v/>
      </c>
      <c r="AK352" s="84" t="str">
        <f t="shared" si="211"/>
        <v/>
      </c>
      <c r="AL352" s="84" t="str">
        <f t="shared" si="212"/>
        <v/>
      </c>
      <c r="AM352" s="84" t="str">
        <f>IF(C351="","",R343)</f>
        <v/>
      </c>
      <c r="AN352" s="84" t="str">
        <f t="shared" si="213"/>
        <v/>
      </c>
      <c r="AO352" s="84" t="str">
        <f t="shared" si="214"/>
        <v/>
      </c>
      <c r="AP352" s="84" t="str">
        <f t="shared" si="215"/>
        <v/>
      </c>
      <c r="AQ352" s="84" t="str">
        <f t="shared" si="216"/>
        <v/>
      </c>
      <c r="AR352" s="84" t="str">
        <f t="shared" si="217"/>
        <v/>
      </c>
      <c r="AS352" s="84" t="str">
        <f t="shared" si="218"/>
        <v/>
      </c>
    </row>
    <row r="353" spans="1:45" ht="24.95" customHeight="1">
      <c r="A353" s="712"/>
      <c r="B353" s="162">
        <v>4</v>
      </c>
      <c r="C353" s="70"/>
      <c r="D353" s="79"/>
      <c r="E353" s="3"/>
      <c r="F353" s="72"/>
      <c r="G353" s="159"/>
      <c r="H353" s="160"/>
      <c r="I353" s="161"/>
      <c r="J353" s="73" t="s">
        <v>6991</v>
      </c>
      <c r="K353" s="73"/>
      <c r="L353" s="73"/>
      <c r="M353" s="74"/>
      <c r="N353" s="3"/>
      <c r="O353" s="39" t="s">
        <v>201</v>
      </c>
      <c r="Q353" s="744" t="s">
        <v>566</v>
      </c>
      <c r="V353" s="846" t="str">
        <f t="shared" si="198"/>
        <v/>
      </c>
      <c r="W353" s="848" t="str">
        <f t="shared" si="199"/>
        <v/>
      </c>
      <c r="X353" s="81" t="str">
        <f t="shared" si="200"/>
        <v/>
      </c>
      <c r="Y353" s="836" t="str">
        <f t="shared" si="201"/>
        <v/>
      </c>
      <c r="Z353" s="839" t="str">
        <f>IF(OR(C352="",AJ353&lt;&gt;"VOLUME",AN358=0),"","≈ "&amp;TEXT(ROUND(AN353/AN358*10*2,0)/2,"0.0")&amp;"/10")</f>
        <v/>
      </c>
      <c r="AA353" s="82" t="str">
        <f t="shared" si="202"/>
        <v/>
      </c>
      <c r="AB353" s="83" t="str">
        <f t="shared" si="203"/>
        <v/>
      </c>
      <c r="AC353" s="842" t="str">
        <f t="shared" si="204"/>
        <v/>
      </c>
      <c r="AD353" s="163" t="str">
        <f t="shared" si="205"/>
        <v/>
      </c>
      <c r="AE353" s="164" t="str">
        <f t="shared" si="206"/>
        <v/>
      </c>
      <c r="AF353" s="855" t="str">
        <f t="shared" si="207"/>
        <v/>
      </c>
      <c r="AH353" s="84" t="str">
        <f t="shared" si="208"/>
        <v/>
      </c>
      <c r="AI353" s="85" t="str">
        <f t="shared" si="209"/>
        <v/>
      </c>
      <c r="AJ353" s="84" t="str">
        <f t="shared" si="210"/>
        <v/>
      </c>
      <c r="AK353" s="84" t="str">
        <f t="shared" si="211"/>
        <v/>
      </c>
      <c r="AL353" s="84" t="str">
        <f t="shared" si="212"/>
        <v/>
      </c>
      <c r="AM353" s="84" t="str">
        <f>IF(C352="","",R343)</f>
        <v/>
      </c>
      <c r="AN353" s="84" t="str">
        <f t="shared" si="213"/>
        <v/>
      </c>
      <c r="AO353" s="84" t="str">
        <f t="shared" si="214"/>
        <v/>
      </c>
      <c r="AP353" s="84" t="str">
        <f t="shared" si="215"/>
        <v/>
      </c>
      <c r="AQ353" s="84" t="str">
        <f t="shared" si="216"/>
        <v/>
      </c>
      <c r="AR353" s="84" t="str">
        <f t="shared" si="217"/>
        <v/>
      </c>
      <c r="AS353" s="84" t="str">
        <f t="shared" si="218"/>
        <v/>
      </c>
    </row>
    <row r="354" spans="1:45" ht="24.95" customHeight="1">
      <c r="A354" s="712"/>
      <c r="B354" s="158">
        <v>5</v>
      </c>
      <c r="C354" s="70"/>
      <c r="D354" s="79"/>
      <c r="E354" s="3"/>
      <c r="F354" s="72"/>
      <c r="G354" s="159"/>
      <c r="H354" s="160"/>
      <c r="I354" s="161"/>
      <c r="J354" s="73" t="s">
        <v>6992</v>
      </c>
      <c r="K354" s="73"/>
      <c r="L354" s="73"/>
      <c r="M354" s="74"/>
      <c r="N354" s="3"/>
      <c r="O354" s="39" t="s">
        <v>370</v>
      </c>
      <c r="Q354" s="744"/>
      <c r="S354" s="356" t="s">
        <v>564</v>
      </c>
      <c r="V354" s="846" t="str">
        <f t="shared" si="198"/>
        <v/>
      </c>
      <c r="W354" s="848" t="str">
        <f t="shared" si="199"/>
        <v/>
      </c>
      <c r="X354" s="81" t="str">
        <f t="shared" si="200"/>
        <v/>
      </c>
      <c r="Y354" s="836" t="str">
        <f t="shared" si="201"/>
        <v/>
      </c>
      <c r="Z354" s="839" t="str">
        <f>IF(OR(C353="",AJ354&lt;&gt;"VOLUME",AN358=0),"","≈ "&amp;TEXT(ROUND(AN354/AN358*10*2,0)/2,"0.0")&amp;"/10")</f>
        <v/>
      </c>
      <c r="AA354" s="82" t="str">
        <f t="shared" si="202"/>
        <v/>
      </c>
      <c r="AB354" s="83" t="str">
        <f t="shared" si="203"/>
        <v/>
      </c>
      <c r="AC354" s="842" t="str">
        <f t="shared" si="204"/>
        <v/>
      </c>
      <c r="AD354" s="163" t="str">
        <f t="shared" si="205"/>
        <v/>
      </c>
      <c r="AE354" s="164" t="str">
        <f t="shared" si="206"/>
        <v/>
      </c>
      <c r="AF354" s="855" t="str">
        <f t="shared" si="207"/>
        <v/>
      </c>
      <c r="AH354" s="84" t="str">
        <f t="shared" si="208"/>
        <v/>
      </c>
      <c r="AI354" s="85" t="str">
        <f t="shared" si="209"/>
        <v/>
      </c>
      <c r="AJ354" s="84" t="str">
        <f t="shared" si="210"/>
        <v/>
      </c>
      <c r="AK354" s="84" t="str">
        <f t="shared" si="211"/>
        <v/>
      </c>
      <c r="AL354" s="84" t="str">
        <f t="shared" si="212"/>
        <v/>
      </c>
      <c r="AM354" s="84" t="str">
        <f>IF(C353="","",R343)</f>
        <v/>
      </c>
      <c r="AN354" s="84" t="str">
        <f t="shared" si="213"/>
        <v/>
      </c>
      <c r="AO354" s="84" t="str">
        <f t="shared" si="214"/>
        <v/>
      </c>
      <c r="AP354" s="84" t="str">
        <f t="shared" si="215"/>
        <v/>
      </c>
      <c r="AQ354" s="84" t="str">
        <f t="shared" si="216"/>
        <v/>
      </c>
      <c r="AR354" s="84" t="str">
        <f t="shared" si="217"/>
        <v/>
      </c>
      <c r="AS354" s="84" t="str">
        <f t="shared" si="218"/>
        <v/>
      </c>
    </row>
    <row r="355" spans="1:45" ht="24.95" customHeight="1">
      <c r="A355" s="712"/>
      <c r="B355" s="162"/>
      <c r="C355" s="70"/>
      <c r="D355" s="79"/>
      <c r="E355" s="3"/>
      <c r="F355" s="72"/>
      <c r="G355" s="159"/>
      <c r="H355" s="160"/>
      <c r="I355" s="161"/>
      <c r="J355" s="73" t="s">
        <v>243</v>
      </c>
      <c r="K355" s="73"/>
      <c r="L355" s="73"/>
      <c r="M355" s="74"/>
      <c r="N355" s="3"/>
      <c r="O355" s="39" t="s">
        <v>205</v>
      </c>
      <c r="S355"/>
      <c r="V355" s="846" t="str">
        <f t="shared" si="198"/>
        <v/>
      </c>
      <c r="W355" s="848" t="str">
        <f t="shared" si="199"/>
        <v/>
      </c>
      <c r="X355" s="81" t="str">
        <f t="shared" si="200"/>
        <v/>
      </c>
      <c r="Y355" s="836" t="str">
        <f t="shared" si="201"/>
        <v/>
      </c>
      <c r="Z355" s="839" t="str">
        <f>IF(OR(C354="",AJ355&lt;&gt;"VOLUME",AN358=0),"","≈ "&amp;TEXT(ROUND(AN355/AN358*10*2,0)/2,"0.0")&amp;"/10")</f>
        <v/>
      </c>
      <c r="AA355" s="80" t="str">
        <f t="shared" si="202"/>
        <v/>
      </c>
      <c r="AB355" s="83" t="str">
        <f t="shared" si="203"/>
        <v/>
      </c>
      <c r="AC355" s="842" t="str">
        <f t="shared" si="204"/>
        <v/>
      </c>
      <c r="AD355" s="163" t="str">
        <f t="shared" si="205"/>
        <v/>
      </c>
      <c r="AE355" s="164" t="str">
        <f t="shared" si="206"/>
        <v/>
      </c>
      <c r="AF355" s="855" t="str">
        <f t="shared" si="207"/>
        <v/>
      </c>
      <c r="AH355" s="84" t="str">
        <f t="shared" si="208"/>
        <v/>
      </c>
      <c r="AI355" s="85" t="str">
        <f t="shared" si="209"/>
        <v/>
      </c>
      <c r="AJ355" s="84" t="str">
        <f t="shared" si="210"/>
        <v/>
      </c>
      <c r="AK355" s="84" t="str">
        <f t="shared" si="211"/>
        <v/>
      </c>
      <c r="AL355" s="84" t="str">
        <f t="shared" si="212"/>
        <v/>
      </c>
      <c r="AM355" s="84" t="str">
        <f>IF(C354="","",R343)</f>
        <v/>
      </c>
      <c r="AN355" s="84" t="str">
        <f t="shared" si="213"/>
        <v/>
      </c>
      <c r="AO355" s="84" t="str">
        <f t="shared" si="214"/>
        <v/>
      </c>
      <c r="AP355" s="84" t="str">
        <f t="shared" si="215"/>
        <v/>
      </c>
      <c r="AQ355" s="84" t="str">
        <f t="shared" si="216"/>
        <v/>
      </c>
      <c r="AR355" s="84" t="str">
        <f t="shared" si="217"/>
        <v/>
      </c>
      <c r="AS355" s="84" t="str">
        <f t="shared" si="218"/>
        <v/>
      </c>
    </row>
    <row r="356" spans="1:45" ht="24.95" customHeight="1">
      <c r="A356" s="712"/>
      <c r="B356" s="158"/>
      <c r="C356" s="70"/>
      <c r="D356" s="79"/>
      <c r="E356" s="3"/>
      <c r="F356" s="72"/>
      <c r="G356" s="159"/>
      <c r="H356" s="160"/>
      <c r="I356" s="161"/>
      <c r="J356" s="73" t="s">
        <v>6995</v>
      </c>
      <c r="K356" s="73"/>
      <c r="L356" s="73"/>
      <c r="M356" s="74"/>
      <c r="N356" s="3"/>
      <c r="O356" s="39" t="s">
        <v>388</v>
      </c>
      <c r="Q356" s="355" t="s">
        <v>558</v>
      </c>
      <c r="S356" s="356" t="s">
        <v>72</v>
      </c>
      <c r="V356" s="847" t="str">
        <f t="shared" si="198"/>
        <v/>
      </c>
      <c r="W356" s="849" t="str">
        <f t="shared" si="199"/>
        <v/>
      </c>
      <c r="X356" s="86" t="str">
        <f t="shared" si="200"/>
        <v/>
      </c>
      <c r="Y356" s="837" t="str">
        <f t="shared" si="201"/>
        <v/>
      </c>
      <c r="Z356" s="840" t="str">
        <f>IF(OR(C355="",AJ356&lt;&gt;"VOLUME",AN358=0),"","≈ "&amp;TEXT(ROUND(AN356/AN358*10*2,0)/2,"0.0")&amp;"/10")</f>
        <v/>
      </c>
      <c r="AA356" s="87" t="str">
        <f t="shared" si="202"/>
        <v/>
      </c>
      <c r="AB356" s="88" t="str">
        <f t="shared" si="203"/>
        <v/>
      </c>
      <c r="AC356" s="843" t="str">
        <f t="shared" si="204"/>
        <v/>
      </c>
      <c r="AD356" s="88" t="str">
        <f t="shared" si="205"/>
        <v/>
      </c>
      <c r="AE356" s="88" t="str">
        <f t="shared" si="206"/>
        <v/>
      </c>
      <c r="AF356" s="834" t="str">
        <f t="shared" si="207"/>
        <v/>
      </c>
      <c r="AH356" s="84" t="str">
        <f t="shared" si="208"/>
        <v/>
      </c>
      <c r="AI356" s="85" t="str">
        <f t="shared" si="209"/>
        <v/>
      </c>
      <c r="AJ356" s="84" t="str">
        <f t="shared" si="210"/>
        <v/>
      </c>
      <c r="AK356" s="84" t="str">
        <f t="shared" si="211"/>
        <v/>
      </c>
      <c r="AL356" s="84" t="str">
        <f t="shared" si="212"/>
        <v/>
      </c>
      <c r="AM356" s="84" t="str">
        <f>IF(C355="","",R343)</f>
        <v/>
      </c>
      <c r="AN356" s="84" t="str">
        <f t="shared" si="213"/>
        <v/>
      </c>
      <c r="AO356" s="84" t="str">
        <f t="shared" si="214"/>
        <v/>
      </c>
      <c r="AP356" s="84" t="str">
        <f t="shared" si="215"/>
        <v/>
      </c>
      <c r="AQ356" s="84" t="str">
        <f t="shared" si="216"/>
        <v/>
      </c>
      <c r="AR356" s="84" t="str">
        <f t="shared" si="217"/>
        <v/>
      </c>
      <c r="AS356" s="84" t="str">
        <f t="shared" si="218"/>
        <v/>
      </c>
    </row>
    <row r="357" spans="1:45" ht="24.95" customHeight="1">
      <c r="A357" s="712"/>
      <c r="B357" s="14" t="s">
        <v>44</v>
      </c>
      <c r="C357" s="146" t="s">
        <v>198</v>
      </c>
      <c r="D357" s="89"/>
      <c r="E357" s="89"/>
      <c r="F357" s="89"/>
      <c r="G357" s="89"/>
      <c r="H357" s="89"/>
      <c r="I357" s="89"/>
      <c r="J357" s="89" t="s">
        <v>6996</v>
      </c>
      <c r="K357" s="89"/>
      <c r="L357" s="89"/>
      <c r="M357" s="90"/>
      <c r="N357" s="3"/>
      <c r="O357" s="39" t="s">
        <v>390</v>
      </c>
      <c r="Q357"/>
      <c r="S357"/>
      <c r="V357" s="847" t="str">
        <f t="shared" si="198"/>
        <v/>
      </c>
      <c r="W357" s="849" t="str">
        <f t="shared" si="199"/>
        <v/>
      </c>
      <c r="X357" s="86" t="str">
        <f t="shared" si="200"/>
        <v/>
      </c>
      <c r="Y357" s="837" t="str">
        <f t="shared" si="201"/>
        <v/>
      </c>
      <c r="Z357" s="840" t="str">
        <f>IF(OR(C356="",AJ357&lt;&gt;"VOLUME",AN358=0),"","≈ "&amp;TEXT(ROUND(AN357/AN358*10*2,0)/2,"0.0")&amp;"/10")</f>
        <v/>
      </c>
      <c r="AA357" s="87" t="str">
        <f t="shared" si="202"/>
        <v/>
      </c>
      <c r="AB357" s="88" t="str">
        <f t="shared" si="203"/>
        <v/>
      </c>
      <c r="AC357" s="843" t="str">
        <f t="shared" si="204"/>
        <v/>
      </c>
      <c r="AD357" s="88" t="str">
        <f t="shared" si="205"/>
        <v/>
      </c>
      <c r="AE357" s="88" t="str">
        <f t="shared" si="206"/>
        <v/>
      </c>
      <c r="AF357" s="834" t="str">
        <f t="shared" si="207"/>
        <v/>
      </c>
      <c r="AH357" s="84" t="str">
        <f t="shared" si="208"/>
        <v/>
      </c>
      <c r="AI357" s="85" t="str">
        <f t="shared" si="209"/>
        <v/>
      </c>
      <c r="AJ357" s="84" t="str">
        <f t="shared" si="210"/>
        <v/>
      </c>
      <c r="AK357" s="84" t="str">
        <f t="shared" si="211"/>
        <v/>
      </c>
      <c r="AL357" s="84" t="str">
        <f t="shared" si="212"/>
        <v/>
      </c>
      <c r="AM357" s="84" t="str">
        <f>IF(C356="","",R343)</f>
        <v/>
      </c>
      <c r="AN357" s="84" t="str">
        <f t="shared" si="213"/>
        <v/>
      </c>
      <c r="AO357" s="84" t="str">
        <f t="shared" si="214"/>
        <v/>
      </c>
      <c r="AP357" s="84" t="str">
        <f t="shared" si="215"/>
        <v/>
      </c>
      <c r="AQ357" s="84" t="str">
        <f t="shared" si="216"/>
        <v/>
      </c>
      <c r="AR357" s="84" t="str">
        <f t="shared" si="217"/>
        <v/>
      </c>
      <c r="AS357" s="84" t="str">
        <f t="shared" si="218"/>
        <v/>
      </c>
    </row>
    <row r="358" spans="1:45" ht="24.95" customHeight="1">
      <c r="A358" s="712"/>
      <c r="B358" s="91">
        <v>0</v>
      </c>
      <c r="C358" s="10" t="s">
        <v>491</v>
      </c>
      <c r="D358" s="11"/>
      <c r="E358" s="11"/>
      <c r="F358" s="11"/>
      <c r="G358" s="11"/>
      <c r="H358" s="11"/>
      <c r="I358" s="11"/>
      <c r="J358" s="11"/>
      <c r="K358" s="11"/>
      <c r="L358" s="11"/>
      <c r="M358" s="92"/>
      <c r="N358" s="3"/>
      <c r="O358" s="39" t="s">
        <v>125</v>
      </c>
      <c r="Q358" s="29" t="s">
        <v>70</v>
      </c>
      <c r="S358" s="356" t="s">
        <v>602</v>
      </c>
      <c r="V358" s="851" t="s">
        <v>203</v>
      </c>
      <c r="W358" s="93"/>
      <c r="X358" s="845">
        <f>AN358</f>
        <v>0</v>
      </c>
      <c r="Y358" s="835" t="str">
        <f>IF(AN358=0,"",TEXT(AN358/1000,"0.000")&amp;" L")</f>
        <v/>
      </c>
      <c r="Z358" s="857"/>
      <c r="AA358" s="93"/>
      <c r="AB358" s="93"/>
      <c r="AC358" s="832">
        <f>AQ358</f>
        <v>0</v>
      </c>
      <c r="AD358" s="844" t="str">
        <f>IF(AN358=0,"",AQ358/AN358*100)</f>
        <v/>
      </c>
      <c r="AE358" s="93"/>
      <c r="AF358" s="856">
        <f>AR358</f>
        <v>0</v>
      </c>
      <c r="AH358" s="94" t="s">
        <v>203</v>
      </c>
      <c r="AI358" s="94"/>
      <c r="AJ358" s="94"/>
      <c r="AK358" s="94"/>
      <c r="AL358" s="94"/>
      <c r="AM358" s="94"/>
      <c r="AN358" s="94">
        <f>SUMIF(AJ351:AJ357,"VOLUME",AN351:AN357)</f>
        <v>0</v>
      </c>
      <c r="AO358" s="94"/>
      <c r="AP358" s="94"/>
      <c r="AQ358" s="94">
        <f>SUM(AQ351:AQ357)</f>
        <v>0</v>
      </c>
      <c r="AR358" s="94">
        <f>SUM(AR351:AR357)</f>
        <v>0</v>
      </c>
      <c r="AS358" s="94" t="str">
        <f>IF(COUNTIF(AS351:AS357,"&lt;&gt;OK")-COUNTBLANK(AS351:AS357)=0,"OK","À CONTRÔLER")</f>
        <v>OK</v>
      </c>
    </row>
    <row r="359" spans="1:45" ht="24.95" customHeight="1">
      <c r="A359" s="712"/>
      <c r="B359" s="95">
        <v>1</v>
      </c>
      <c r="C359" s="96" t="s">
        <v>206</v>
      </c>
      <c r="D359" s="96"/>
      <c r="E359" s="96"/>
      <c r="F359" s="96"/>
      <c r="G359" s="96"/>
      <c r="H359" s="96"/>
      <c r="I359" s="96"/>
      <c r="J359" s="96"/>
      <c r="K359" s="96"/>
      <c r="L359" s="96"/>
      <c r="M359" s="74"/>
      <c r="N359" s="3"/>
      <c r="O359" s="39" t="s">
        <v>211</v>
      </c>
      <c r="Q359" s="184"/>
      <c r="S359" s="183"/>
      <c r="V359" s="832" t="s">
        <v>208</v>
      </c>
      <c r="W359" s="19" t="s">
        <v>209</v>
      </c>
      <c r="X359" s="36"/>
      <c r="Y359" s="858"/>
      <c r="Z359" s="859"/>
      <c r="AA359" s="97"/>
      <c r="AB359" s="97"/>
      <c r="AC359" s="97"/>
      <c r="AD359" s="97"/>
      <c r="AE359" s="97"/>
      <c r="AF359" s="860"/>
      <c r="AH359" s="3" t="s">
        <v>6994</v>
      </c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</row>
    <row r="360" spans="1:45" ht="24.95" customHeight="1">
      <c r="A360" s="712"/>
      <c r="B360" s="95">
        <v>2</v>
      </c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74"/>
      <c r="N360" s="3"/>
      <c r="O360" s="39" t="s">
        <v>216</v>
      </c>
      <c r="P360" s="3"/>
      <c r="Q360" s="29" t="s">
        <v>584</v>
      </c>
      <c r="S360" s="356" t="s">
        <v>609</v>
      </c>
      <c r="V360" s="98" t="str">
        <f t="shared" ref="V360:V367" si="219">IF(C359="","",C359)</f>
        <v>Préparer le verre et le poste de travail.</v>
      </c>
      <c r="W360" s="98"/>
      <c r="X360" s="98"/>
      <c r="Y360" s="98"/>
      <c r="Z360" s="98"/>
      <c r="AA360" s="98"/>
      <c r="AB360" s="98"/>
      <c r="AC360" s="98"/>
      <c r="AD360" s="98"/>
      <c r="AE360" s="98"/>
      <c r="AF360" s="98"/>
      <c r="AH360" s="146" t="s">
        <v>214</v>
      </c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3"/>
    </row>
    <row r="361" spans="1:45" ht="24.95" customHeight="1">
      <c r="A361" s="712"/>
      <c r="B361" s="95">
        <v>3</v>
      </c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74"/>
      <c r="N361" s="3"/>
      <c r="O361" s="39" t="s">
        <v>83</v>
      </c>
      <c r="P361" s="3"/>
      <c r="Q361"/>
      <c r="R361" s="3"/>
      <c r="S361" s="3"/>
      <c r="T361" s="3"/>
      <c r="U361" s="3"/>
      <c r="V361" s="98" t="str">
        <f t="shared" si="219"/>
        <v/>
      </c>
      <c r="W361" s="98"/>
      <c r="X361" s="98"/>
      <c r="Y361" s="98"/>
      <c r="Z361" s="98"/>
      <c r="AA361" s="98"/>
      <c r="AB361" s="98"/>
      <c r="AC361" s="98"/>
      <c r="AD361" s="98"/>
      <c r="AE361" s="98"/>
      <c r="AF361" s="98"/>
      <c r="AH361" s="165" t="s">
        <v>219</v>
      </c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</row>
    <row r="362" spans="1:45" ht="24.95" customHeight="1">
      <c r="A362" s="712"/>
      <c r="B362" s="95">
        <v>4</v>
      </c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74"/>
      <c r="N362" s="3"/>
      <c r="O362" s="39" t="s">
        <v>355</v>
      </c>
      <c r="P362" s="3"/>
      <c r="Q362" s="745" t="s">
        <v>577</v>
      </c>
      <c r="R362" s="3"/>
      <c r="S362" s="3"/>
      <c r="T362" s="3"/>
      <c r="U362" s="3"/>
      <c r="V362" s="98" t="str">
        <f t="shared" si="219"/>
        <v/>
      </c>
      <c r="W362" s="98"/>
      <c r="X362" s="98"/>
      <c r="Y362" s="98"/>
      <c r="Z362" s="98"/>
      <c r="AA362" s="98"/>
      <c r="AB362" s="98"/>
      <c r="AC362" s="98"/>
      <c r="AD362" s="98"/>
      <c r="AE362" s="98"/>
      <c r="AF362" s="98"/>
      <c r="AH362" s="166" t="s">
        <v>222</v>
      </c>
      <c r="AI362" s="167" t="s">
        <v>223</v>
      </c>
      <c r="AJ362" s="165"/>
      <c r="AK362" s="167" t="s">
        <v>224</v>
      </c>
      <c r="AL362" s="165"/>
      <c r="AM362" s="165"/>
      <c r="AN362" s="165"/>
      <c r="AO362" s="167" t="s">
        <v>225</v>
      </c>
      <c r="AP362" s="165"/>
      <c r="AQ362" s="165"/>
      <c r="AR362" s="165"/>
    </row>
    <row r="363" spans="1:45" ht="24.95" customHeight="1">
      <c r="A363" s="712"/>
      <c r="B363" s="95">
        <v>5</v>
      </c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74"/>
      <c r="N363" s="3"/>
      <c r="O363" s="39" t="s">
        <v>227</v>
      </c>
      <c r="P363" s="3"/>
      <c r="Q363" s="745"/>
      <c r="R363" s="3"/>
      <c r="S363" s="3"/>
      <c r="T363" s="3"/>
      <c r="U363" s="3"/>
      <c r="V363" s="98" t="str">
        <f t="shared" si="219"/>
        <v/>
      </c>
      <c r="W363" s="98"/>
      <c r="X363" s="98"/>
      <c r="Y363" s="98"/>
      <c r="Z363" s="98"/>
      <c r="AA363" s="98"/>
      <c r="AB363" s="98"/>
      <c r="AC363" s="98"/>
      <c r="AD363" s="98"/>
      <c r="AE363" s="98"/>
      <c r="AF363" s="98"/>
      <c r="AH363" s="750" t="s">
        <v>156</v>
      </c>
      <c r="AI363" s="748" t="s">
        <v>230</v>
      </c>
      <c r="AJ363" s="748"/>
      <c r="AK363" s="749" t="s">
        <v>231</v>
      </c>
      <c r="AL363" s="749"/>
      <c r="AM363" s="749"/>
      <c r="AN363" s="749"/>
      <c r="AO363" s="746" t="s">
        <v>232</v>
      </c>
      <c r="AP363" s="746"/>
      <c r="AQ363" s="746"/>
      <c r="AR363" s="746"/>
    </row>
    <row r="364" spans="1:45" ht="24.95" customHeight="1">
      <c r="A364" s="712"/>
      <c r="B364" s="95">
        <v>6</v>
      </c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74"/>
      <c r="N364" s="3"/>
      <c r="O364" s="39" t="s">
        <v>270</v>
      </c>
      <c r="P364" s="3"/>
      <c r="Q364" s="193"/>
      <c r="R364" s="3"/>
      <c r="S364" s="3"/>
      <c r="T364" s="3"/>
      <c r="U364" s="3"/>
      <c r="V364" s="98" t="str">
        <f t="shared" si="219"/>
        <v/>
      </c>
      <c r="W364" s="98"/>
      <c r="X364" s="98"/>
      <c r="Y364" s="98"/>
      <c r="Z364" s="98"/>
      <c r="AA364" s="98"/>
      <c r="AB364" s="98"/>
      <c r="AC364" s="98"/>
      <c r="AD364" s="98"/>
      <c r="AE364" s="98"/>
      <c r="AF364" s="98"/>
      <c r="AH364" s="750"/>
      <c r="AI364" s="748"/>
      <c r="AJ364" s="748"/>
      <c r="AK364" s="749"/>
      <c r="AL364" s="749"/>
      <c r="AM364" s="749"/>
      <c r="AN364" s="749"/>
      <c r="AO364" s="746"/>
      <c r="AP364" s="746"/>
      <c r="AQ364" s="746"/>
      <c r="AR364" s="746"/>
    </row>
    <row r="365" spans="1:45" ht="24.95" customHeight="1">
      <c r="A365" s="712"/>
      <c r="B365" s="95">
        <v>7</v>
      </c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74"/>
      <c r="N365" s="3"/>
      <c r="O365" s="39" t="s">
        <v>238</v>
      </c>
      <c r="P365" s="3"/>
      <c r="Q365" s="357" t="s">
        <v>590</v>
      </c>
      <c r="R365" s="3"/>
      <c r="S365" s="357" t="s">
        <v>591</v>
      </c>
      <c r="T365" s="378" t="s">
        <v>592</v>
      </c>
      <c r="U365" s="3"/>
      <c r="V365" s="98" t="str">
        <f t="shared" si="219"/>
        <v/>
      </c>
      <c r="W365" s="98"/>
      <c r="X365" s="98"/>
      <c r="Y365" s="98"/>
      <c r="Z365" s="98"/>
      <c r="AA365" s="98"/>
      <c r="AB365" s="98"/>
      <c r="AC365" s="98"/>
      <c r="AD365" s="98"/>
      <c r="AE365" s="98"/>
      <c r="AF365" s="98"/>
      <c r="AH365" s="747" t="s">
        <v>492</v>
      </c>
      <c r="AI365" s="748" t="s">
        <v>241</v>
      </c>
      <c r="AJ365" s="748"/>
      <c r="AK365" s="749" t="s">
        <v>242</v>
      </c>
      <c r="AL365" s="749"/>
      <c r="AM365" s="749"/>
      <c r="AN365" s="749"/>
      <c r="AO365" s="746" t="s">
        <v>243</v>
      </c>
      <c r="AP365" s="746"/>
      <c r="AQ365" s="746"/>
      <c r="AR365" s="746"/>
    </row>
    <row r="366" spans="1:45" ht="24.95" customHeight="1">
      <c r="A366" s="712"/>
      <c r="B366" s="95">
        <v>8</v>
      </c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74"/>
      <c r="N366" s="3"/>
      <c r="O366" s="39" t="s">
        <v>372</v>
      </c>
      <c r="P366" s="3"/>
      <c r="Q366" s="358"/>
      <c r="R366" s="3"/>
      <c r="S366" s="358"/>
      <c r="T366"/>
      <c r="U366" s="3"/>
      <c r="V366" s="98" t="str">
        <f t="shared" si="219"/>
        <v/>
      </c>
      <c r="W366" s="98"/>
      <c r="X366" s="98"/>
      <c r="Y366" s="98"/>
      <c r="Z366" s="98"/>
      <c r="AA366" s="98"/>
      <c r="AB366" s="98"/>
      <c r="AC366" s="98"/>
      <c r="AD366" s="98"/>
      <c r="AE366" s="98"/>
      <c r="AF366" s="98"/>
      <c r="AH366" s="747"/>
      <c r="AI366" s="748"/>
      <c r="AJ366" s="748"/>
      <c r="AK366" s="749"/>
      <c r="AL366" s="749"/>
      <c r="AM366" s="749"/>
      <c r="AN366" s="749"/>
      <c r="AO366" s="746"/>
      <c r="AP366" s="746"/>
      <c r="AQ366" s="746"/>
      <c r="AR366" s="746"/>
    </row>
    <row r="367" spans="1:45" ht="24.95" customHeight="1">
      <c r="A367" s="712"/>
      <c r="B367" s="101"/>
      <c r="C367" s="89"/>
      <c r="D367" s="89"/>
      <c r="E367" s="89"/>
      <c r="F367" s="89"/>
      <c r="G367" s="89"/>
      <c r="H367" s="89"/>
      <c r="I367" s="89"/>
      <c r="J367" s="89"/>
      <c r="K367" s="89"/>
      <c r="L367" s="89"/>
      <c r="M367" s="90"/>
      <c r="N367" s="3"/>
      <c r="O367" s="39" t="s">
        <v>93</v>
      </c>
      <c r="P367" s="3"/>
      <c r="Q367" s="32" t="s">
        <v>74</v>
      </c>
      <c r="R367" s="3"/>
      <c r="S367" s="360" t="s">
        <v>610</v>
      </c>
      <c r="T367" s="376" t="s">
        <v>611</v>
      </c>
      <c r="U367" s="3"/>
      <c r="V367" s="98" t="str">
        <f t="shared" si="219"/>
        <v/>
      </c>
      <c r="W367" s="98"/>
      <c r="X367" s="98"/>
      <c r="Y367" s="98"/>
      <c r="Z367" s="98"/>
      <c r="AA367" s="98"/>
      <c r="AB367" s="98"/>
      <c r="AC367" s="98"/>
      <c r="AD367" s="98"/>
      <c r="AE367" s="98"/>
      <c r="AF367" s="98"/>
      <c r="AH367" s="750" t="s">
        <v>6993</v>
      </c>
      <c r="AI367" s="748" t="s">
        <v>252</v>
      </c>
      <c r="AJ367" s="748"/>
      <c r="AK367" s="749" t="s">
        <v>253</v>
      </c>
      <c r="AL367" s="749"/>
      <c r="AM367" s="749"/>
      <c r="AN367" s="749"/>
      <c r="AO367" s="746" t="s">
        <v>254</v>
      </c>
      <c r="AP367" s="746"/>
      <c r="AQ367" s="746"/>
      <c r="AR367" s="746"/>
    </row>
    <row r="368" spans="1:45" ht="24.95" customHeight="1">
      <c r="A368" s="712"/>
      <c r="B368" s="10" t="s">
        <v>258</v>
      </c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92"/>
      <c r="N368" s="3"/>
      <c r="P368" s="3"/>
      <c r="Q368" s="204"/>
      <c r="R368" s="3"/>
      <c r="S368" s="204"/>
      <c r="T368" s="376"/>
      <c r="U368" s="3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H368" s="750"/>
      <c r="AI368" s="748"/>
      <c r="AJ368" s="748"/>
      <c r="AK368" s="749"/>
      <c r="AL368" s="749"/>
      <c r="AM368" s="749"/>
      <c r="AN368" s="749"/>
      <c r="AO368" s="746"/>
      <c r="AP368" s="746"/>
      <c r="AQ368" s="746"/>
      <c r="AR368" s="746"/>
    </row>
    <row r="369" spans="1:45" ht="24.95" customHeight="1">
      <c r="A369" s="712"/>
      <c r="B369" s="102" t="s">
        <v>259</v>
      </c>
      <c r="C369" s="73" t="s">
        <v>6671</v>
      </c>
      <c r="D369" s="73"/>
      <c r="E369" s="73"/>
      <c r="F369" s="73"/>
      <c r="G369" s="73"/>
      <c r="H369" s="73"/>
      <c r="I369" s="73"/>
      <c r="J369" s="73"/>
      <c r="K369" s="73"/>
      <c r="L369" s="73"/>
      <c r="M369" s="74"/>
      <c r="N369" s="3"/>
      <c r="P369" s="3"/>
      <c r="Q369" s="361" t="s">
        <v>621</v>
      </c>
      <c r="R369" s="3"/>
      <c r="S369" s="361" t="s">
        <v>622</v>
      </c>
      <c r="T369" s="376" t="s">
        <v>623</v>
      </c>
      <c r="U369" s="3"/>
      <c r="V369" s="103" t="s">
        <v>260</v>
      </c>
      <c r="W369" s="103" t="s">
        <v>209</v>
      </c>
      <c r="X369" s="103"/>
      <c r="Y369" s="103"/>
      <c r="Z369" s="103"/>
      <c r="AA369" s="103"/>
      <c r="AB369" s="103"/>
      <c r="AC369" s="103"/>
      <c r="AD369" s="103"/>
      <c r="AE369" s="103"/>
      <c r="AF369" s="103"/>
      <c r="AH369" s="171" t="s">
        <v>261</v>
      </c>
      <c r="AI369" s="172"/>
      <c r="AJ369" s="165"/>
      <c r="AK369" s="165"/>
      <c r="AL369" s="165"/>
      <c r="AM369" s="165"/>
      <c r="AN369" s="165"/>
      <c r="AO369" s="165"/>
      <c r="AP369" s="165"/>
      <c r="AQ369" s="165"/>
      <c r="AR369" s="165"/>
    </row>
    <row r="370" spans="1:45" ht="24.95" customHeight="1">
      <c r="A370" s="712"/>
      <c r="B370" s="102" t="s">
        <v>262</v>
      </c>
      <c r="C370" s="73" t="s">
        <v>263</v>
      </c>
      <c r="D370" s="73"/>
      <c r="E370" s="73"/>
      <c r="F370" s="73"/>
      <c r="G370" s="73"/>
      <c r="H370" s="73"/>
      <c r="I370" s="73"/>
      <c r="J370" s="73"/>
      <c r="K370" s="73"/>
      <c r="L370" s="73"/>
      <c r="M370" s="74"/>
      <c r="N370" s="3"/>
      <c r="P370" s="3"/>
      <c r="Q370" s="204"/>
      <c r="S370" s="204"/>
      <c r="T370" s="376"/>
      <c r="U370" s="3"/>
      <c r="V370" s="98" t="str">
        <f>IF(C369="","",C369)</f>
        <v>Exemple &gt; Tumbler (Old Fashioned)</v>
      </c>
      <c r="W370" s="98"/>
      <c r="X370" s="98"/>
      <c r="Y370" s="98"/>
      <c r="Z370" s="98"/>
      <c r="AA370" s="98"/>
      <c r="AB370" s="98"/>
      <c r="AC370" s="98"/>
      <c r="AD370" s="98"/>
      <c r="AE370" s="98"/>
      <c r="AF370" s="98"/>
      <c r="AH370" s="172" t="s">
        <v>264</v>
      </c>
      <c r="AI370" s="172"/>
      <c r="AJ370" s="165"/>
      <c r="AK370" s="172"/>
      <c r="AL370" s="165"/>
      <c r="AM370" s="165"/>
      <c r="AN370" s="165"/>
      <c r="AO370" s="172"/>
      <c r="AP370" s="165"/>
      <c r="AQ370" s="165"/>
      <c r="AR370" s="165"/>
    </row>
    <row r="371" spans="1:45" ht="24.95" customHeight="1">
      <c r="A371" s="712"/>
      <c r="B371" s="104" t="s">
        <v>267</v>
      </c>
      <c r="C371" s="105"/>
      <c r="D371" s="73"/>
      <c r="E371" s="73"/>
      <c r="F371" s="73"/>
      <c r="G371" s="73"/>
      <c r="H371" s="73"/>
      <c r="I371" s="73"/>
      <c r="J371" s="73"/>
      <c r="K371" s="73"/>
      <c r="L371" s="73"/>
      <c r="M371" s="74"/>
      <c r="N371" s="3"/>
      <c r="P371" s="3"/>
      <c r="Q371" s="362" t="s">
        <v>631</v>
      </c>
      <c r="S371" s="362" t="s">
        <v>632</v>
      </c>
      <c r="T371" s="376" t="s">
        <v>633</v>
      </c>
      <c r="U371" s="3"/>
      <c r="V371" s="98" t="str">
        <f>IF(C370="","",C370)</f>
        <v>Doseur / jigger ; cuillère à mélange ; bec verseur ; pince à glaçons</v>
      </c>
      <c r="W371" s="98"/>
      <c r="X371" s="98"/>
      <c r="Y371" s="98"/>
      <c r="Z371" s="98"/>
      <c r="AA371" s="98"/>
      <c r="AB371" s="98"/>
      <c r="AC371" s="98"/>
      <c r="AD371" s="98"/>
      <c r="AE371" s="98"/>
      <c r="AF371" s="98"/>
      <c r="AH371" s="172" t="s">
        <v>269</v>
      </c>
      <c r="AI371" s="172"/>
      <c r="AJ371" s="173"/>
      <c r="AK371" s="173"/>
      <c r="AL371" s="165"/>
      <c r="AM371" s="165"/>
      <c r="AN371" s="165"/>
      <c r="AO371" s="165"/>
      <c r="AP371" s="165"/>
      <c r="AQ371" s="165"/>
      <c r="AR371" s="165"/>
    </row>
    <row r="372" spans="1:45" ht="24.95" customHeight="1">
      <c r="A372" s="712"/>
      <c r="N372" s="3"/>
      <c r="P372" s="3"/>
      <c r="Q372" s="204"/>
      <c r="S372" s="204"/>
      <c r="T372" s="376"/>
      <c r="U372" s="3"/>
      <c r="V372" s="98" t="str">
        <f>IF(C371="","",C371)</f>
        <v/>
      </c>
      <c r="W372" s="98"/>
      <c r="X372" s="98"/>
      <c r="Y372" s="98"/>
      <c r="Z372" s="98"/>
      <c r="AA372" s="98"/>
      <c r="AB372" s="98"/>
      <c r="AC372" s="98"/>
      <c r="AD372" s="98"/>
      <c r="AE372" s="98"/>
      <c r="AF372" s="98"/>
      <c r="AH372" s="168" t="s">
        <v>274</v>
      </c>
      <c r="AI372" s="165"/>
      <c r="AJ372" s="173"/>
      <c r="AK372" s="173"/>
      <c r="AL372" s="165"/>
      <c r="AM372" s="165"/>
      <c r="AN372" s="165"/>
      <c r="AO372" s="165"/>
      <c r="AP372" s="165"/>
      <c r="AQ372" s="165"/>
      <c r="AR372" s="165"/>
    </row>
    <row r="373" spans="1:45" ht="24.95" customHeight="1">
      <c r="A373" s="713"/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  <c r="L373" s="106"/>
      <c r="M373" s="107" t="s">
        <v>272</v>
      </c>
      <c r="N373" s="3"/>
      <c r="P373" s="3"/>
      <c r="Q373" s="363" t="s">
        <v>640</v>
      </c>
      <c r="S373" s="363" t="s">
        <v>641</v>
      </c>
      <c r="T373" s="376" t="s">
        <v>642</v>
      </c>
      <c r="U373" s="3"/>
      <c r="V373" s="108" t="s">
        <v>277</v>
      </c>
      <c r="W373" s="108"/>
      <c r="X373" s="108"/>
      <c r="Y373" s="108"/>
      <c r="Z373" s="108"/>
      <c r="AA373" s="108"/>
      <c r="AB373" s="108"/>
      <c r="AC373" s="108"/>
      <c r="AD373" s="108"/>
      <c r="AE373" s="108"/>
      <c r="AF373" s="109" t="s">
        <v>277</v>
      </c>
      <c r="AH373" s="168" t="s">
        <v>278</v>
      </c>
      <c r="AI373" s="172"/>
      <c r="AJ373" s="173"/>
      <c r="AK373" s="173"/>
      <c r="AL373" s="165"/>
      <c r="AM373" s="165"/>
      <c r="AN373" s="165"/>
      <c r="AO373" s="165"/>
      <c r="AP373" s="165"/>
      <c r="AQ373" s="165"/>
      <c r="AR373" s="165"/>
    </row>
    <row r="374" spans="1:45" ht="24.95" customHeight="1">
      <c r="A374" s="723"/>
      <c r="B374" s="724"/>
      <c r="C374" s="724"/>
      <c r="D374" s="724"/>
      <c r="E374" s="724"/>
      <c r="F374" s="724"/>
      <c r="G374" s="724"/>
      <c r="H374" s="724"/>
      <c r="I374" s="724"/>
      <c r="J374" s="724"/>
      <c r="K374" s="724"/>
      <c r="L374" s="724"/>
      <c r="M374" s="724"/>
      <c r="N374" s="3"/>
      <c r="P374" s="3"/>
      <c r="Q374" s="204"/>
      <c r="S374" s="204"/>
      <c r="T374" s="376"/>
      <c r="V374" s="760"/>
      <c r="W374" s="760"/>
      <c r="X374" s="760"/>
      <c r="Y374" s="726"/>
      <c r="Z374" s="727"/>
      <c r="AA374" s="727"/>
      <c r="AB374" s="727"/>
      <c r="AC374" s="727"/>
      <c r="AD374" s="727"/>
      <c r="AE374" s="727"/>
      <c r="AF374" s="727"/>
      <c r="AH374" s="725"/>
      <c r="AI374" s="725"/>
      <c r="AJ374" s="725"/>
      <c r="AK374" s="725"/>
      <c r="AL374" s="725"/>
      <c r="AM374" s="728"/>
      <c r="AN374" s="728"/>
      <c r="AO374" s="728"/>
      <c r="AP374" s="728"/>
      <c r="AQ374" s="728"/>
      <c r="AR374" s="728"/>
      <c r="AS374" s="728"/>
    </row>
    <row r="375" spans="1:45" ht="24.95" customHeight="1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P375" s="3"/>
      <c r="Q375" s="357" t="s">
        <v>651</v>
      </c>
      <c r="S375" s="357" t="s">
        <v>652</v>
      </c>
      <c r="T375" s="376" t="s">
        <v>653</v>
      </c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</row>
    <row r="376" spans="1:45" ht="24.95" customHeight="1">
      <c r="Q376" s="375"/>
      <c r="S376" s="375"/>
      <c r="T376" s="376"/>
    </row>
    <row r="377" spans="1:45" ht="24.95" customHeight="1">
      <c r="Q377" s="364" t="s">
        <v>661</v>
      </c>
      <c r="S377" s="364" t="s">
        <v>662</v>
      </c>
      <c r="T377" s="376" t="s">
        <v>663</v>
      </c>
    </row>
    <row r="378" spans="1:45" ht="24.95" customHeight="1">
      <c r="Q378" s="375"/>
      <c r="S378" s="375"/>
      <c r="T378" s="376"/>
    </row>
    <row r="379" spans="1:45" ht="24.95" customHeight="1">
      <c r="Q379" s="364" t="s">
        <v>670</v>
      </c>
      <c r="S379" s="364" t="s">
        <v>671</v>
      </c>
      <c r="T379" s="376" t="s">
        <v>672</v>
      </c>
    </row>
    <row r="380" spans="1:45" ht="24.95" customHeight="1">
      <c r="Q380" s="375"/>
      <c r="S380" s="375"/>
      <c r="T380" s="376"/>
    </row>
    <row r="381" spans="1:45" ht="24.95" customHeight="1">
      <c r="Q381" s="364" t="s">
        <v>683</v>
      </c>
      <c r="S381" s="364" t="s">
        <v>684</v>
      </c>
      <c r="T381" s="376" t="s">
        <v>685</v>
      </c>
    </row>
    <row r="382" spans="1:45" ht="24.95" customHeight="1">
      <c r="Q382" s="375"/>
      <c r="S382" s="375"/>
      <c r="T382" s="376"/>
    </row>
    <row r="383" spans="1:45" ht="24.95" customHeight="1">
      <c r="Q383" s="364" t="s">
        <v>690</v>
      </c>
      <c r="S383" s="364" t="s">
        <v>691</v>
      </c>
      <c r="T383" s="376" t="s">
        <v>692</v>
      </c>
    </row>
    <row r="384" spans="1:45" ht="24.95" customHeight="1">
      <c r="Q384" s="375"/>
      <c r="S384" s="375"/>
      <c r="T384" s="376"/>
    </row>
    <row r="385" spans="17:20" ht="24.95" customHeight="1">
      <c r="Q385" s="365" t="s">
        <v>696</v>
      </c>
      <c r="S385" s="365" t="s">
        <v>697</v>
      </c>
      <c r="T385" s="379" t="s">
        <v>698</v>
      </c>
    </row>
    <row r="386" spans="17:20" ht="24.95" customHeight="1">
      <c r="Q386" s="375"/>
      <c r="S386" s="375"/>
      <c r="T386" s="376"/>
    </row>
    <row r="387" spans="17:20" ht="24.95" customHeight="1">
      <c r="Q387" s="359" t="s">
        <v>702</v>
      </c>
      <c r="S387" s="359" t="s">
        <v>578</v>
      </c>
      <c r="T387" s="377" t="s">
        <v>579</v>
      </c>
    </row>
    <row r="388" spans="17:20" ht="24.95" customHeight="1">
      <c r="Q388" s="375"/>
      <c r="S388" s="375"/>
      <c r="T388" s="376"/>
    </row>
    <row r="389" spans="17:20" ht="24.95" customHeight="1">
      <c r="Q389" s="366" t="s">
        <v>708</v>
      </c>
      <c r="S389" s="366" t="s">
        <v>709</v>
      </c>
      <c r="T389" s="376" t="s">
        <v>710</v>
      </c>
    </row>
    <row r="390" spans="17:20" ht="24.95" customHeight="1">
      <c r="Q390" s="375"/>
      <c r="S390" s="375"/>
      <c r="T390" s="376"/>
    </row>
    <row r="391" spans="17:20" ht="24.95" customHeight="1">
      <c r="Q391" s="367" t="s">
        <v>714</v>
      </c>
      <c r="S391" s="367" t="s">
        <v>715</v>
      </c>
      <c r="T391" s="376" t="s">
        <v>716</v>
      </c>
    </row>
    <row r="392" spans="17:20" ht="24.95" customHeight="1">
      <c r="Q392" s="375"/>
      <c r="S392" s="375"/>
      <c r="T392" s="376"/>
    </row>
    <row r="393" spans="17:20" ht="24.95" customHeight="1">
      <c r="Q393" s="368" t="s">
        <v>719</v>
      </c>
      <c r="S393" s="368" t="s">
        <v>720</v>
      </c>
      <c r="T393" s="376" t="s">
        <v>721</v>
      </c>
    </row>
    <row r="394" spans="17:20" ht="24.95" customHeight="1">
      <c r="Q394" s="375"/>
      <c r="S394" s="375"/>
      <c r="T394" s="376"/>
    </row>
    <row r="395" spans="17:20" ht="24.95" customHeight="1">
      <c r="Q395" s="369" t="s">
        <v>725</v>
      </c>
      <c r="S395" s="369" t="s">
        <v>726</v>
      </c>
      <c r="T395" s="376" t="s">
        <v>727</v>
      </c>
    </row>
    <row r="396" spans="17:20" ht="24.95" customHeight="1">
      <c r="Q396" s="375"/>
      <c r="S396" s="375"/>
      <c r="T396" s="376"/>
    </row>
    <row r="397" spans="17:20" ht="24.95" customHeight="1">
      <c r="Q397" s="370" t="s">
        <v>731</v>
      </c>
      <c r="S397" s="370" t="s">
        <v>268</v>
      </c>
      <c r="T397" s="376" t="s">
        <v>732</v>
      </c>
    </row>
    <row r="398" spans="17:20" ht="24.95" customHeight="1">
      <c r="Q398" s="358"/>
      <c r="S398" s="375"/>
      <c r="T398" s="376"/>
    </row>
    <row r="399" spans="17:20" ht="24.95" customHeight="1">
      <c r="Q399" s="371" t="s">
        <v>737</v>
      </c>
      <c r="S399" s="371" t="s">
        <v>738</v>
      </c>
      <c r="T399" s="376" t="s">
        <v>739</v>
      </c>
    </row>
    <row r="400" spans="17:20" ht="24.95" customHeight="1">
      <c r="Q400" s="375"/>
      <c r="S400" s="375"/>
      <c r="T400" s="376"/>
    </row>
    <row r="401" spans="17:20" ht="24.95" customHeight="1">
      <c r="Q401" s="364" t="s">
        <v>745</v>
      </c>
      <c r="S401" s="364" t="s">
        <v>746</v>
      </c>
      <c r="T401" s="376" t="s">
        <v>747</v>
      </c>
    </row>
    <row r="402" spans="17:20" ht="24.95" customHeight="1">
      <c r="Q402" s="375"/>
      <c r="S402" s="375"/>
      <c r="T402" s="376"/>
    </row>
    <row r="403" spans="17:20" ht="24.95" customHeight="1">
      <c r="Q403" s="372" t="s">
        <v>752</v>
      </c>
      <c r="S403" s="372" t="s">
        <v>29</v>
      </c>
      <c r="T403" s="376" t="s">
        <v>753</v>
      </c>
    </row>
    <row r="404" spans="17:20" ht="24.95" customHeight="1">
      <c r="Q404" s="375"/>
      <c r="S404" s="375"/>
      <c r="T404" s="376"/>
    </row>
    <row r="405" spans="17:20" ht="24.95" customHeight="1">
      <c r="Q405" s="373" t="s">
        <v>757</v>
      </c>
      <c r="S405" s="373" t="s">
        <v>758</v>
      </c>
      <c r="T405" s="376" t="s">
        <v>759</v>
      </c>
    </row>
    <row r="406" spans="17:20" ht="24.95" customHeight="1">
      <c r="Q406" s="375"/>
      <c r="S406" s="375"/>
      <c r="T406" s="376"/>
    </row>
    <row r="407" spans="17:20" ht="24.95" customHeight="1">
      <c r="Q407" s="366" t="s">
        <v>763</v>
      </c>
      <c r="S407" s="366" t="s">
        <v>764</v>
      </c>
      <c r="T407" s="376" t="s">
        <v>765</v>
      </c>
    </row>
    <row r="408" spans="17:20" ht="24.95" customHeight="1">
      <c r="Q408" s="375"/>
      <c r="S408" s="375"/>
      <c r="T408" s="376"/>
    </row>
    <row r="409" spans="17:20" ht="24.95" customHeight="1">
      <c r="Q409" s="357" t="s">
        <v>769</v>
      </c>
      <c r="S409" s="357" t="s">
        <v>770</v>
      </c>
      <c r="T409" s="376" t="s">
        <v>771</v>
      </c>
    </row>
    <row r="410" spans="17:20" ht="24.95" customHeight="1">
      <c r="Q410" s="375"/>
      <c r="S410" s="375"/>
      <c r="T410" s="376"/>
    </row>
    <row r="411" spans="17:20" ht="24.95" customHeight="1">
      <c r="Q411" s="357" t="s">
        <v>776</v>
      </c>
      <c r="S411" s="357" t="s">
        <v>777</v>
      </c>
      <c r="T411" s="376" t="s">
        <v>778</v>
      </c>
    </row>
    <row r="412" spans="17:20" ht="24.95" customHeight="1">
      <c r="Q412" s="358"/>
      <c r="S412" s="375"/>
      <c r="T412" s="376"/>
    </row>
    <row r="413" spans="17:20" ht="24.95" customHeight="1">
      <c r="Q413" s="745" t="s">
        <v>783</v>
      </c>
      <c r="S413" s="745" t="s">
        <v>578</v>
      </c>
      <c r="T413" s="739" t="s">
        <v>579</v>
      </c>
    </row>
    <row r="414" spans="17:20" ht="24.95" customHeight="1">
      <c r="Q414" s="745"/>
      <c r="S414" s="745"/>
      <c r="T414" s="739"/>
    </row>
    <row r="415" spans="17:20" ht="24.95" customHeight="1">
      <c r="Q415" s="358"/>
    </row>
    <row r="416" spans="17:20" ht="24.95" customHeight="1">
      <c r="Q416" s="374" t="s">
        <v>786</v>
      </c>
      <c r="S416" s="374" t="s">
        <v>787</v>
      </c>
      <c r="T416" s="376" t="s">
        <v>788</v>
      </c>
    </row>
    <row r="417" spans="17:20" ht="24.95" customHeight="1">
      <c r="Q417" s="375"/>
      <c r="S417" s="375"/>
      <c r="T417" s="376"/>
    </row>
    <row r="418" spans="17:20" ht="24.95" customHeight="1">
      <c r="Q418" s="374" t="s">
        <v>793</v>
      </c>
      <c r="S418" s="374" t="s">
        <v>794</v>
      </c>
      <c r="T418" s="376" t="s">
        <v>795</v>
      </c>
    </row>
    <row r="419" spans="17:20" ht="24.95" customHeight="1">
      <c r="Q419" s="375"/>
      <c r="S419" s="375"/>
      <c r="T419" s="376"/>
    </row>
    <row r="420" spans="17:20" ht="24.95" customHeight="1">
      <c r="Q420" s="374" t="s">
        <v>800</v>
      </c>
      <c r="S420" s="374" t="s">
        <v>801</v>
      </c>
      <c r="T420" s="376" t="s">
        <v>802</v>
      </c>
    </row>
    <row r="421" spans="17:20" ht="24.95" customHeight="1">
      <c r="Q421" s="375"/>
      <c r="S421" s="375"/>
      <c r="T421" s="376"/>
    </row>
    <row r="422" spans="17:20" ht="24.95" customHeight="1">
      <c r="Q422" s="374" t="s">
        <v>806</v>
      </c>
      <c r="S422" s="374" t="s">
        <v>807</v>
      </c>
      <c r="T422" s="376" t="s">
        <v>808</v>
      </c>
    </row>
    <row r="423" spans="17:20" ht="24.95" customHeight="1">
      <c r="Q423" s="375"/>
      <c r="S423" s="375"/>
      <c r="T423" s="376"/>
    </row>
    <row r="424" spans="17:20" ht="24.95" customHeight="1">
      <c r="Q424" s="374" t="s">
        <v>813</v>
      </c>
      <c r="S424" s="374" t="s">
        <v>814</v>
      </c>
      <c r="T424" s="376" t="s">
        <v>815</v>
      </c>
    </row>
    <row r="425" spans="17:20" ht="24.95" customHeight="1">
      <c r="Q425" s="375"/>
      <c r="S425" s="375"/>
      <c r="T425" s="376"/>
    </row>
    <row r="426" spans="17:20" ht="24.95" customHeight="1">
      <c r="Q426" s="374" t="s">
        <v>819</v>
      </c>
      <c r="S426" s="374" t="s">
        <v>820</v>
      </c>
      <c r="T426" s="376" t="s">
        <v>821</v>
      </c>
    </row>
    <row r="427" spans="17:20" ht="24.95" customHeight="1">
      <c r="Q427" s="375"/>
      <c r="S427" s="375"/>
      <c r="T427" s="376"/>
    </row>
    <row r="428" spans="17:20" ht="24.95" customHeight="1">
      <c r="Q428" s="374" t="s">
        <v>825</v>
      </c>
      <c r="S428" s="374" t="s">
        <v>826</v>
      </c>
      <c r="T428" s="376" t="s">
        <v>827</v>
      </c>
    </row>
    <row r="429" spans="17:20" ht="24.95" customHeight="1">
      <c r="Q429" s="375"/>
      <c r="S429" s="375"/>
      <c r="T429" s="376"/>
    </row>
    <row r="430" spans="17:20" ht="24.95" customHeight="1">
      <c r="Q430" s="374" t="s">
        <v>831</v>
      </c>
      <c r="S430" s="374" t="s">
        <v>832</v>
      </c>
      <c r="T430" s="376" t="s">
        <v>833</v>
      </c>
    </row>
    <row r="431" spans="17:20" ht="24.95" customHeight="1"/>
    <row r="432" spans="17:20" ht="24.95" customHeight="1">
      <c r="Q432" s="207" t="s">
        <v>844</v>
      </c>
    </row>
    <row r="433" spans="17:17" ht="24.95" customHeight="1">
      <c r="Q433" s="208" t="s">
        <v>845</v>
      </c>
    </row>
    <row r="434" spans="17:17" ht="24.95" customHeight="1">
      <c r="Q434" s="208" t="s">
        <v>846</v>
      </c>
    </row>
    <row r="435" spans="17:17" ht="24.95" customHeight="1"/>
    <row r="436" spans="17:17" ht="24.95" customHeight="1"/>
    <row r="437" spans="17:17" ht="24.95" customHeight="1"/>
    <row r="438" spans="17:17" ht="24.95" customHeight="1"/>
    <row r="439" spans="17:17" ht="24.95" customHeight="1"/>
    <row r="440" spans="17:17" ht="24.95" customHeight="1"/>
    <row r="441" spans="17:17" ht="24.95" customHeight="1"/>
    <row r="442" spans="17:17" ht="24.95" customHeight="1"/>
    <row r="443" spans="17:17" ht="24.95" customHeight="1"/>
    <row r="444" spans="17:17" ht="24.95" customHeight="1"/>
    <row r="445" spans="17:17" ht="24.95" customHeight="1"/>
    <row r="446" spans="17:17" ht="24.95" customHeight="1"/>
    <row r="447" spans="17:17" ht="24.95" customHeight="1"/>
    <row r="448" spans="17:17" ht="24.95" customHeight="1"/>
    <row r="449" ht="24.95" customHeight="1"/>
    <row r="450" ht="24.95" customHeight="1"/>
    <row r="451" ht="24.95" customHeight="1"/>
    <row r="452" ht="24.95" customHeight="1"/>
    <row r="453" ht="24.95" customHeight="1"/>
    <row r="454" ht="24.95" customHeight="1"/>
    <row r="455" ht="24.95" customHeight="1"/>
    <row r="456" ht="24.95" customHeight="1"/>
    <row r="457" ht="24.95" customHeight="1"/>
    <row r="458" ht="24.95" customHeight="1"/>
  </sheetData>
  <mergeCells count="184">
    <mergeCell ref="O1:O2"/>
    <mergeCell ref="O3:O4"/>
    <mergeCell ref="AU3:AY3"/>
    <mergeCell ref="V16:X16"/>
    <mergeCell ref="AC23:AF24"/>
    <mergeCell ref="Q29:Q30"/>
    <mergeCell ref="V11:AF12"/>
    <mergeCell ref="W17:Y17"/>
    <mergeCell ref="W53:Y53"/>
    <mergeCell ref="AK147:AN148"/>
    <mergeCell ref="AO147:AR148"/>
    <mergeCell ref="O124:O125"/>
    <mergeCell ref="O126:O127"/>
    <mergeCell ref="AH111:AH112"/>
    <mergeCell ref="AI111:AJ112"/>
    <mergeCell ref="AK111:AN112"/>
    <mergeCell ref="AO111:AR112"/>
    <mergeCell ref="AH113:AH114"/>
    <mergeCell ref="AI113:AJ114"/>
    <mergeCell ref="AK113:AN114"/>
    <mergeCell ref="AO113:AR114"/>
    <mergeCell ref="W125:Y125"/>
    <mergeCell ref="O247:O248"/>
    <mergeCell ref="O249:O250"/>
    <mergeCell ref="AH221:AH222"/>
    <mergeCell ref="AI221:AJ222"/>
    <mergeCell ref="AK221:AN222"/>
    <mergeCell ref="AO221:AR222"/>
    <mergeCell ref="AH183:AH184"/>
    <mergeCell ref="AI183:AJ184"/>
    <mergeCell ref="AK183:AN184"/>
    <mergeCell ref="AO183:AR184"/>
    <mergeCell ref="AI185:AJ186"/>
    <mergeCell ref="AK185:AN186"/>
    <mergeCell ref="AO185:AR186"/>
    <mergeCell ref="AI187:AJ188"/>
    <mergeCell ref="W197:Y197"/>
    <mergeCell ref="W233:Y233"/>
    <mergeCell ref="AK75:AN76"/>
    <mergeCell ref="AO75:AR76"/>
    <mergeCell ref="AH77:AH78"/>
    <mergeCell ref="AI77:AJ78"/>
    <mergeCell ref="AK77:AN78"/>
    <mergeCell ref="AO77:AR78"/>
    <mergeCell ref="B16:M16"/>
    <mergeCell ref="A17:A48"/>
    <mergeCell ref="V50:X50"/>
    <mergeCell ref="AH75:AH76"/>
    <mergeCell ref="AI75:AJ76"/>
    <mergeCell ref="AH43:AH44"/>
    <mergeCell ref="AI43:AJ44"/>
    <mergeCell ref="AK43:AN44"/>
    <mergeCell ref="AO43:AR44"/>
    <mergeCell ref="AH39:AH40"/>
    <mergeCell ref="AI39:AJ40"/>
    <mergeCell ref="AK39:AN40"/>
    <mergeCell ref="AO39:AR40"/>
    <mergeCell ref="AH41:AH42"/>
    <mergeCell ref="AI41:AJ42"/>
    <mergeCell ref="AK41:AN42"/>
    <mergeCell ref="AO41:AR42"/>
    <mergeCell ref="V52:X52"/>
    <mergeCell ref="AC59:AF60"/>
    <mergeCell ref="Q65:Q66"/>
    <mergeCell ref="AH79:AH80"/>
    <mergeCell ref="AI79:AJ80"/>
    <mergeCell ref="AH185:AH186"/>
    <mergeCell ref="AH187:AH188"/>
    <mergeCell ref="AC131:AF132"/>
    <mergeCell ref="Q137:Q138"/>
    <mergeCell ref="AH147:AH148"/>
    <mergeCell ref="AI147:AJ148"/>
    <mergeCell ref="V86:X86"/>
    <mergeCell ref="W89:Y89"/>
    <mergeCell ref="W161:Y161"/>
    <mergeCell ref="AK115:AN116"/>
    <mergeCell ref="AO115:AR116"/>
    <mergeCell ref="V122:X122"/>
    <mergeCell ref="V124:X124"/>
    <mergeCell ref="AK79:AN80"/>
    <mergeCell ref="AO79:AR80"/>
    <mergeCell ref="V88:X88"/>
    <mergeCell ref="AC95:AF96"/>
    <mergeCell ref="Q101:Q102"/>
    <mergeCell ref="AH115:AH116"/>
    <mergeCell ref="AI115:AJ116"/>
    <mergeCell ref="AK187:AN188"/>
    <mergeCell ref="AO187:AR188"/>
    <mergeCell ref="V194:X194"/>
    <mergeCell ref="V196:X196"/>
    <mergeCell ref="V158:X158"/>
    <mergeCell ref="V160:X160"/>
    <mergeCell ref="AC167:AF168"/>
    <mergeCell ref="Q173:Q174"/>
    <mergeCell ref="AH149:AH150"/>
    <mergeCell ref="AI149:AJ150"/>
    <mergeCell ref="AK149:AN150"/>
    <mergeCell ref="AO149:AR150"/>
    <mergeCell ref="AH151:AH152"/>
    <mergeCell ref="AI151:AJ152"/>
    <mergeCell ref="AK151:AN152"/>
    <mergeCell ref="AO151:AR152"/>
    <mergeCell ref="Q245:Q246"/>
    <mergeCell ref="AH255:AH256"/>
    <mergeCell ref="AH259:AH260"/>
    <mergeCell ref="AH223:AH224"/>
    <mergeCell ref="AI223:AJ224"/>
    <mergeCell ref="AK223:AN224"/>
    <mergeCell ref="AO223:AR224"/>
    <mergeCell ref="V230:X230"/>
    <mergeCell ref="AC203:AF204"/>
    <mergeCell ref="Q209:Q210"/>
    <mergeCell ref="AH219:AH220"/>
    <mergeCell ref="AI219:AJ220"/>
    <mergeCell ref="AK219:AN220"/>
    <mergeCell ref="AO219:AR220"/>
    <mergeCell ref="AI255:AJ256"/>
    <mergeCell ref="AK255:AN256"/>
    <mergeCell ref="AO255:AR256"/>
    <mergeCell ref="AH257:AH258"/>
    <mergeCell ref="AI257:AJ258"/>
    <mergeCell ref="AK257:AN258"/>
    <mergeCell ref="AO257:AR258"/>
    <mergeCell ref="V232:X232"/>
    <mergeCell ref="AC239:AF240"/>
    <mergeCell ref="AC275:AF276"/>
    <mergeCell ref="Q281:Q282"/>
    <mergeCell ref="AH291:AH292"/>
    <mergeCell ref="AI291:AJ292"/>
    <mergeCell ref="AK291:AN292"/>
    <mergeCell ref="AI259:AJ260"/>
    <mergeCell ref="AK259:AN260"/>
    <mergeCell ref="AO259:AR260"/>
    <mergeCell ref="V266:X266"/>
    <mergeCell ref="V268:X268"/>
    <mergeCell ref="W269:Y269"/>
    <mergeCell ref="V304:X304"/>
    <mergeCell ref="AC311:AF312"/>
    <mergeCell ref="Q317:Q318"/>
    <mergeCell ref="AH327:AH328"/>
    <mergeCell ref="AH331:AH332"/>
    <mergeCell ref="AO291:AR292"/>
    <mergeCell ref="AH293:AH294"/>
    <mergeCell ref="AI293:AJ294"/>
    <mergeCell ref="AK293:AN294"/>
    <mergeCell ref="AO293:AR294"/>
    <mergeCell ref="AH295:AH296"/>
    <mergeCell ref="AI295:AJ296"/>
    <mergeCell ref="AK295:AN296"/>
    <mergeCell ref="AO295:AR296"/>
    <mergeCell ref="AI331:AJ332"/>
    <mergeCell ref="AK331:AN332"/>
    <mergeCell ref="V302:X302"/>
    <mergeCell ref="W305:Y305"/>
    <mergeCell ref="AO331:AR332"/>
    <mergeCell ref="V338:X338"/>
    <mergeCell ref="V340:X340"/>
    <mergeCell ref="AC347:AF348"/>
    <mergeCell ref="Q353:Q354"/>
    <mergeCell ref="AH363:AH364"/>
    <mergeCell ref="AI363:AJ364"/>
    <mergeCell ref="AI327:AJ328"/>
    <mergeCell ref="AK327:AN328"/>
    <mergeCell ref="AO327:AR328"/>
    <mergeCell ref="AH329:AH330"/>
    <mergeCell ref="AI329:AJ330"/>
    <mergeCell ref="AK329:AN330"/>
    <mergeCell ref="AO329:AR330"/>
    <mergeCell ref="W341:Y341"/>
    <mergeCell ref="Q362:Q363"/>
    <mergeCell ref="Q413:Q414"/>
    <mergeCell ref="S413:S414"/>
    <mergeCell ref="T413:T414"/>
    <mergeCell ref="AH367:AH368"/>
    <mergeCell ref="AI367:AJ368"/>
    <mergeCell ref="AK367:AN368"/>
    <mergeCell ref="AO367:AR368"/>
    <mergeCell ref="V374:X374"/>
    <mergeCell ref="AK363:AN364"/>
    <mergeCell ref="AO363:AR364"/>
    <mergeCell ref="AH365:AH366"/>
    <mergeCell ref="AI365:AJ366"/>
    <mergeCell ref="AK365:AN366"/>
    <mergeCell ref="AO365:AR366"/>
  </mergeCells>
  <conditionalFormatting sqref="AZ5:AZ122">
    <cfRule type="expression" dxfId="34" priority="8">
      <formula>$AZ5="CONTENANT"</formula>
    </cfRule>
    <cfRule type="expression" dxfId="33" priority="9">
      <formula>$AZ5="MESURE / DOSE"</formula>
    </cfRule>
    <cfRule type="expression" dxfId="32" priority="10">
      <formula>$AZ5="STYLE / FAMILLE"</formula>
    </cfRule>
    <cfRule type="expression" dxfId="31" priority="11">
      <formula>$AZ5="MODE DE SERVICE"</formula>
    </cfRule>
    <cfRule type="expression" dxfId="30" priority="12">
      <formula>$AZ5="MODE DE PRÉPARATION"</formula>
    </cfRule>
    <cfRule type="expression" dxfId="29" priority="13">
      <formula>LEFT($AZ5,7)="BOISSON"</formula>
    </cfRule>
    <cfRule type="expression" dxfId="28" priority="14">
      <formula>LEFT($AZ5,5)="UNITÉ"</formula>
    </cfRule>
  </conditionalFormatting>
  <conditionalFormatting sqref="AZ43:AZ44">
    <cfRule type="expression" dxfId="27" priority="1">
      <formula>#REF!="CONTENANT"</formula>
    </cfRule>
    <cfRule type="expression" dxfId="26" priority="2">
      <formula>#REF!="MESURE / DOSE"</formula>
    </cfRule>
    <cfRule type="expression" dxfId="25" priority="3">
      <formula>#REF!="STYLE / FAMILLE"</formula>
    </cfRule>
    <cfRule type="expression" dxfId="24" priority="4">
      <formula>#REF!="MODE DE SERVICE"</formula>
    </cfRule>
    <cfRule type="expression" dxfId="23" priority="5">
      <formula>#REF!="MODE DE PRÉPARATION"</formula>
    </cfRule>
    <cfRule type="expression" dxfId="22" priority="6">
      <formula>LEFT(#REF!,7)="BOISSON"</formula>
    </cfRule>
    <cfRule type="expression" dxfId="21" priority="7">
      <formula>LEFT(#REF!,5)="UNITÉ"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4C812-ACCB-491F-B38A-6D468CBB0549}">
  <dimension ref="A1:I82"/>
  <sheetViews>
    <sheetView workbookViewId="0">
      <selection activeCell="J13" sqref="J13"/>
    </sheetView>
  </sheetViews>
  <sheetFormatPr baseColWidth="10" defaultColWidth="10.28515625" defaultRowHeight="15"/>
  <cols>
    <col min="1" max="1" width="27.42578125" style="1" customWidth="1"/>
    <col min="2" max="2" width="20.5703125" style="1" customWidth="1"/>
    <col min="3" max="3" width="13.7109375" style="1" customWidth="1"/>
    <col min="4" max="4" width="25.140625" style="1" customWidth="1"/>
    <col min="5" max="6" width="48" style="1" customWidth="1"/>
    <col min="7" max="7" width="20.5703125" style="1" customWidth="1"/>
    <col min="8" max="16384" width="10.28515625" style="1"/>
  </cols>
  <sheetData>
    <row r="1" spans="1:9" ht="30" customHeight="1">
      <c r="A1" s="762" t="s">
        <v>6672</v>
      </c>
      <c r="B1" s="762"/>
      <c r="C1" s="762"/>
      <c r="D1" s="762"/>
      <c r="E1" s="762"/>
      <c r="F1" s="762"/>
      <c r="G1" s="762"/>
    </row>
    <row r="2" spans="1:9" ht="35.1" customHeight="1">
      <c r="A2" s="384" t="s">
        <v>6673</v>
      </c>
      <c r="B2" s="385"/>
      <c r="C2" s="385"/>
      <c r="D2" s="385"/>
      <c r="E2" s="385"/>
      <c r="F2" s="385"/>
      <c r="G2" s="385"/>
      <c r="I2" s="695" t="s">
        <v>548</v>
      </c>
    </row>
    <row r="3" spans="1:9" ht="15.75">
      <c r="A3" s="216" t="s">
        <v>7266</v>
      </c>
      <c r="B3" s="298"/>
      <c r="C3" s="298"/>
      <c r="D3" s="298"/>
      <c r="E3" s="298"/>
      <c r="F3" s="298"/>
      <c r="G3" s="298"/>
    </row>
    <row r="4" spans="1:9" ht="32.1" customHeight="1">
      <c r="A4" s="386" t="s">
        <v>6674</v>
      </c>
      <c r="B4" s="386" t="s">
        <v>6675</v>
      </c>
      <c r="C4" s="386" t="s">
        <v>94</v>
      </c>
      <c r="D4" s="386" t="s">
        <v>6676</v>
      </c>
      <c r="E4" s="386" t="s">
        <v>6677</v>
      </c>
      <c r="F4" s="386" t="s">
        <v>6678</v>
      </c>
      <c r="G4" s="386" t="s">
        <v>6679</v>
      </c>
    </row>
    <row r="5" spans="1:9" ht="33.950000000000003" customHeight="1">
      <c r="A5" s="387" t="s">
        <v>6680</v>
      </c>
      <c r="B5" s="388" t="s">
        <v>6681</v>
      </c>
      <c r="C5" s="388" t="s">
        <v>581</v>
      </c>
      <c r="D5" s="389" t="s">
        <v>6682</v>
      </c>
      <c r="E5" s="390" t="s">
        <v>6683</v>
      </c>
      <c r="F5" s="390" t="s">
        <v>6684</v>
      </c>
      <c r="G5" s="388" t="s">
        <v>6685</v>
      </c>
    </row>
    <row r="6" spans="1:9" ht="33.950000000000003" customHeight="1">
      <c r="A6" s="387" t="s">
        <v>6686</v>
      </c>
      <c r="B6" s="388" t="s">
        <v>6681</v>
      </c>
      <c r="C6" s="388" t="s">
        <v>581</v>
      </c>
      <c r="D6" s="389" t="s">
        <v>6682</v>
      </c>
      <c r="E6" s="390" t="s">
        <v>6687</v>
      </c>
      <c r="F6" s="390" t="s">
        <v>6688</v>
      </c>
      <c r="G6" s="388" t="s">
        <v>6685</v>
      </c>
    </row>
    <row r="7" spans="1:9" ht="33.950000000000003" customHeight="1">
      <c r="A7" s="387" t="s">
        <v>6689</v>
      </c>
      <c r="B7" s="388" t="s">
        <v>6681</v>
      </c>
      <c r="C7" s="388" t="s">
        <v>6690</v>
      </c>
      <c r="D7" s="391" t="s">
        <v>6691</v>
      </c>
      <c r="E7" s="390" t="s">
        <v>6692</v>
      </c>
      <c r="F7" s="390" t="s">
        <v>6693</v>
      </c>
      <c r="G7" s="388" t="s">
        <v>6685</v>
      </c>
    </row>
    <row r="8" spans="1:9" ht="33.950000000000003" customHeight="1">
      <c r="A8" s="387" t="s">
        <v>6694</v>
      </c>
      <c r="B8" s="388" t="s">
        <v>6681</v>
      </c>
      <c r="C8" s="388" t="s">
        <v>586</v>
      </c>
      <c r="D8" s="392" t="s">
        <v>6695</v>
      </c>
      <c r="E8" s="390" t="s">
        <v>6696</v>
      </c>
      <c r="F8" s="390" t="s">
        <v>6697</v>
      </c>
      <c r="G8" s="388" t="s">
        <v>6685</v>
      </c>
    </row>
    <row r="9" spans="1:9" ht="33.950000000000003" customHeight="1">
      <c r="A9" s="387" t="s">
        <v>6698</v>
      </c>
      <c r="B9" s="388" t="s">
        <v>6681</v>
      </c>
      <c r="C9" s="388" t="s">
        <v>581</v>
      </c>
      <c r="D9" s="391" t="s">
        <v>6691</v>
      </c>
      <c r="E9" s="390" t="s">
        <v>6699</v>
      </c>
      <c r="F9" s="390" t="s">
        <v>6700</v>
      </c>
      <c r="G9" s="388" t="s">
        <v>6685</v>
      </c>
    </row>
    <row r="10" spans="1:9" ht="33.950000000000003" customHeight="1">
      <c r="A10" s="387" t="s">
        <v>6701</v>
      </c>
      <c r="B10" s="388" t="s">
        <v>6681</v>
      </c>
      <c r="C10" s="388" t="s">
        <v>581</v>
      </c>
      <c r="D10" s="393" t="s">
        <v>6702</v>
      </c>
      <c r="E10" s="390" t="s">
        <v>6703</v>
      </c>
      <c r="F10" s="390" t="s">
        <v>6704</v>
      </c>
      <c r="G10" s="388" t="s">
        <v>6685</v>
      </c>
    </row>
    <row r="11" spans="1:9" ht="33.950000000000003" customHeight="1">
      <c r="A11" s="387" t="s">
        <v>6705</v>
      </c>
      <c r="B11" s="388" t="s">
        <v>6681</v>
      </c>
      <c r="C11" s="388" t="s">
        <v>6690</v>
      </c>
      <c r="D11" s="392" t="s">
        <v>6695</v>
      </c>
      <c r="E11" s="390" t="s">
        <v>6706</v>
      </c>
      <c r="F11" s="390" t="s">
        <v>6707</v>
      </c>
      <c r="G11" s="388" t="s">
        <v>6708</v>
      </c>
    </row>
    <row r="12" spans="1:9" ht="33.950000000000003" customHeight="1">
      <c r="A12" s="387" t="s">
        <v>6709</v>
      </c>
      <c r="B12" s="388" t="s">
        <v>6681</v>
      </c>
      <c r="C12" s="388" t="s">
        <v>6690</v>
      </c>
      <c r="D12" s="394" t="s">
        <v>6710</v>
      </c>
      <c r="E12" s="390" t="s">
        <v>6711</v>
      </c>
      <c r="F12" s="390" t="s">
        <v>6712</v>
      </c>
      <c r="G12" s="388" t="s">
        <v>6708</v>
      </c>
    </row>
    <row r="13" spans="1:9" ht="33.950000000000003" customHeight="1">
      <c r="A13" s="387" t="s">
        <v>6713</v>
      </c>
      <c r="B13" s="388" t="s">
        <v>6714</v>
      </c>
      <c r="C13" s="388" t="s">
        <v>581</v>
      </c>
      <c r="D13" s="395" t="s">
        <v>6715</v>
      </c>
      <c r="E13" s="390" t="s">
        <v>6716</v>
      </c>
      <c r="F13" s="390" t="s">
        <v>6717</v>
      </c>
      <c r="G13" s="388" t="s">
        <v>6718</v>
      </c>
    </row>
    <row r="14" spans="1:9" ht="33.950000000000003" customHeight="1">
      <c r="A14" s="387" t="s">
        <v>6719</v>
      </c>
      <c r="B14" s="388" t="s">
        <v>6714</v>
      </c>
      <c r="C14" s="388" t="s">
        <v>581</v>
      </c>
      <c r="D14" s="395" t="s">
        <v>6715</v>
      </c>
      <c r="E14" s="390" t="s">
        <v>6720</v>
      </c>
      <c r="F14" s="390" t="s">
        <v>6721</v>
      </c>
      <c r="G14" s="388" t="s">
        <v>6718</v>
      </c>
    </row>
    <row r="15" spans="1:9" ht="33.950000000000003" customHeight="1">
      <c r="A15" s="387" t="s">
        <v>6722</v>
      </c>
      <c r="B15" s="388" t="s">
        <v>6714</v>
      </c>
      <c r="C15" s="388" t="s">
        <v>581</v>
      </c>
      <c r="D15" s="395" t="s">
        <v>6715</v>
      </c>
      <c r="E15" s="390" t="s">
        <v>6723</v>
      </c>
      <c r="F15" s="390" t="s">
        <v>6724</v>
      </c>
      <c r="G15" s="388" t="s">
        <v>6718</v>
      </c>
    </row>
    <row r="16" spans="1:9" ht="33.950000000000003" customHeight="1">
      <c r="A16" s="387" t="s">
        <v>6725</v>
      </c>
      <c r="B16" s="388" t="s">
        <v>6714</v>
      </c>
      <c r="C16" s="388" t="s">
        <v>6690</v>
      </c>
      <c r="D16" s="396" t="s">
        <v>6726</v>
      </c>
      <c r="E16" s="390" t="s">
        <v>6727</v>
      </c>
      <c r="F16" s="390" t="s">
        <v>6728</v>
      </c>
      <c r="G16" s="388" t="s">
        <v>6729</v>
      </c>
    </row>
    <row r="17" spans="1:7" ht="33.950000000000003" customHeight="1">
      <c r="A17" s="387" t="s">
        <v>6730</v>
      </c>
      <c r="B17" s="388" t="s">
        <v>6714</v>
      </c>
      <c r="C17" s="388" t="s">
        <v>6690</v>
      </c>
      <c r="D17" s="397" t="s">
        <v>6731</v>
      </c>
      <c r="E17" s="390" t="s">
        <v>6732</v>
      </c>
      <c r="F17" s="390" t="s">
        <v>6733</v>
      </c>
      <c r="G17" s="388" t="s">
        <v>6729</v>
      </c>
    </row>
    <row r="18" spans="1:7" ht="33.950000000000003" customHeight="1">
      <c r="A18" s="387" t="s">
        <v>6734</v>
      </c>
      <c r="B18" s="388" t="s">
        <v>6735</v>
      </c>
      <c r="C18" s="388" t="s">
        <v>581</v>
      </c>
      <c r="D18" s="398" t="s">
        <v>6736</v>
      </c>
      <c r="E18" s="390" t="s">
        <v>6737</v>
      </c>
      <c r="F18" s="390" t="s">
        <v>6738</v>
      </c>
      <c r="G18" s="388" t="s">
        <v>709</v>
      </c>
    </row>
    <row r="19" spans="1:7" ht="33.950000000000003" customHeight="1">
      <c r="A19" s="387" t="s">
        <v>6739</v>
      </c>
      <c r="B19" s="388" t="s">
        <v>6735</v>
      </c>
      <c r="C19" s="388" t="s">
        <v>581</v>
      </c>
      <c r="D19" s="399" t="s">
        <v>6740</v>
      </c>
      <c r="E19" s="390" t="s">
        <v>6741</v>
      </c>
      <c r="F19" s="390" t="s">
        <v>6742</v>
      </c>
      <c r="G19" s="388" t="s">
        <v>709</v>
      </c>
    </row>
    <row r="20" spans="1:7" ht="33.950000000000003" customHeight="1">
      <c r="A20" s="387" t="s">
        <v>6743</v>
      </c>
      <c r="B20" s="388" t="s">
        <v>6735</v>
      </c>
      <c r="C20" s="388" t="s">
        <v>581</v>
      </c>
      <c r="D20" s="400" t="s">
        <v>6744</v>
      </c>
      <c r="E20" s="390" t="s">
        <v>6745</v>
      </c>
      <c r="F20" s="390" t="s">
        <v>6746</v>
      </c>
      <c r="G20" s="388" t="s">
        <v>709</v>
      </c>
    </row>
    <row r="21" spans="1:7" ht="33.950000000000003" customHeight="1">
      <c r="A21" s="387" t="s">
        <v>6747</v>
      </c>
      <c r="B21" s="388" t="s">
        <v>6735</v>
      </c>
      <c r="C21" s="388" t="s">
        <v>581</v>
      </c>
      <c r="D21" s="399" t="s">
        <v>6740</v>
      </c>
      <c r="E21" s="390" t="s">
        <v>6748</v>
      </c>
      <c r="F21" s="390" t="s">
        <v>6749</v>
      </c>
      <c r="G21" s="388" t="s">
        <v>6747</v>
      </c>
    </row>
    <row r="22" spans="1:7" ht="33.950000000000003" customHeight="1">
      <c r="A22" s="387" t="s">
        <v>6750</v>
      </c>
      <c r="B22" s="388" t="s">
        <v>6735</v>
      </c>
      <c r="C22" s="388" t="s">
        <v>581</v>
      </c>
      <c r="D22" s="399" t="s">
        <v>6740</v>
      </c>
      <c r="E22" s="390" t="s">
        <v>6751</v>
      </c>
      <c r="F22" s="390" t="s">
        <v>6752</v>
      </c>
      <c r="G22" s="388" t="s">
        <v>6747</v>
      </c>
    </row>
    <row r="23" spans="1:7" ht="33.950000000000003" customHeight="1">
      <c r="A23" s="387" t="s">
        <v>6753</v>
      </c>
      <c r="B23" s="388" t="s">
        <v>6735</v>
      </c>
      <c r="C23" s="388" t="s">
        <v>6690</v>
      </c>
      <c r="D23" s="401" t="s">
        <v>6754</v>
      </c>
      <c r="E23" s="390" t="s">
        <v>6755</v>
      </c>
      <c r="F23" s="390" t="s">
        <v>6756</v>
      </c>
      <c r="G23" s="388" t="s">
        <v>709</v>
      </c>
    </row>
    <row r="24" spans="1:7" ht="33.950000000000003" customHeight="1">
      <c r="A24" s="387" t="s">
        <v>6757</v>
      </c>
      <c r="B24" s="388" t="s">
        <v>6735</v>
      </c>
      <c r="C24" s="388" t="s">
        <v>6690</v>
      </c>
      <c r="D24" s="402" t="s">
        <v>6758</v>
      </c>
      <c r="E24" s="390" t="s">
        <v>6759</v>
      </c>
      <c r="F24" s="390" t="s">
        <v>6760</v>
      </c>
      <c r="G24" s="388" t="s">
        <v>709</v>
      </c>
    </row>
    <row r="25" spans="1:7" ht="33.950000000000003" customHeight="1">
      <c r="A25" s="387" t="s">
        <v>6761</v>
      </c>
      <c r="B25" s="388" t="s">
        <v>6735</v>
      </c>
      <c r="C25" s="388" t="s">
        <v>6690</v>
      </c>
      <c r="D25" s="403" t="s">
        <v>6762</v>
      </c>
      <c r="E25" s="390" t="s">
        <v>6763</v>
      </c>
      <c r="F25" s="390" t="s">
        <v>6764</v>
      </c>
      <c r="G25" s="388" t="s">
        <v>709</v>
      </c>
    </row>
    <row r="26" spans="1:7" ht="33.950000000000003" customHeight="1">
      <c r="A26" s="387" t="s">
        <v>6765</v>
      </c>
      <c r="B26" s="388" t="s">
        <v>6735</v>
      </c>
      <c r="C26" s="388" t="s">
        <v>581</v>
      </c>
      <c r="D26" s="404" t="s">
        <v>6766</v>
      </c>
      <c r="E26" s="390" t="s">
        <v>6767</v>
      </c>
      <c r="F26" s="390" t="s">
        <v>6768</v>
      </c>
      <c r="G26" s="388" t="s">
        <v>709</v>
      </c>
    </row>
    <row r="27" spans="1:7" ht="33.950000000000003" customHeight="1">
      <c r="A27" s="387" t="s">
        <v>6769</v>
      </c>
      <c r="B27" s="388" t="s">
        <v>6735</v>
      </c>
      <c r="C27" s="388" t="s">
        <v>6690</v>
      </c>
      <c r="D27" s="405" t="s">
        <v>6770</v>
      </c>
      <c r="E27" s="390" t="s">
        <v>6771</v>
      </c>
      <c r="F27" s="390" t="s">
        <v>6772</v>
      </c>
      <c r="G27" s="388" t="s">
        <v>709</v>
      </c>
    </row>
    <row r="28" spans="1:7" ht="33.950000000000003" customHeight="1">
      <c r="A28" s="387" t="s">
        <v>6773</v>
      </c>
      <c r="B28" s="388" t="s">
        <v>6735</v>
      </c>
      <c r="C28" s="388" t="s">
        <v>6690</v>
      </c>
      <c r="D28" s="406" t="s">
        <v>6774</v>
      </c>
      <c r="E28" s="390" t="s">
        <v>6775</v>
      </c>
      <c r="F28" s="390" t="s">
        <v>6776</v>
      </c>
      <c r="G28" s="388" t="s">
        <v>6708</v>
      </c>
    </row>
    <row r="29" spans="1:7" ht="33.950000000000003" customHeight="1">
      <c r="A29" s="387" t="s">
        <v>6777</v>
      </c>
      <c r="B29" s="388" t="s">
        <v>6735</v>
      </c>
      <c r="C29" s="388" t="s">
        <v>6690</v>
      </c>
      <c r="D29" s="407" t="s">
        <v>6778</v>
      </c>
      <c r="E29" s="390" t="s">
        <v>6779</v>
      </c>
      <c r="F29" s="390" t="s">
        <v>6780</v>
      </c>
      <c r="G29" s="388" t="s">
        <v>29</v>
      </c>
    </row>
    <row r="30" spans="1:7" ht="33.950000000000003" customHeight="1">
      <c r="A30" s="387" t="s">
        <v>6781</v>
      </c>
      <c r="B30" s="388" t="s">
        <v>6735</v>
      </c>
      <c r="C30" s="388" t="s">
        <v>6690</v>
      </c>
      <c r="D30" s="408" t="s">
        <v>6782</v>
      </c>
      <c r="E30" s="390" t="s">
        <v>6779</v>
      </c>
      <c r="F30" s="390" t="s">
        <v>6783</v>
      </c>
      <c r="G30" s="388" t="s">
        <v>715</v>
      </c>
    </row>
    <row r="31" spans="1:7" ht="33.950000000000003" customHeight="1">
      <c r="A31" s="387" t="s">
        <v>6784</v>
      </c>
      <c r="B31" s="388" t="s">
        <v>6735</v>
      </c>
      <c r="C31" s="388" t="s">
        <v>6690</v>
      </c>
      <c r="D31" s="407" t="s">
        <v>6778</v>
      </c>
      <c r="E31" s="390" t="s">
        <v>6785</v>
      </c>
      <c r="F31" s="390" t="s">
        <v>6786</v>
      </c>
      <c r="G31" s="388" t="s">
        <v>6787</v>
      </c>
    </row>
    <row r="32" spans="1:7" ht="33.950000000000003" customHeight="1">
      <c r="A32" s="387" t="s">
        <v>6788</v>
      </c>
      <c r="B32" s="388" t="s">
        <v>6789</v>
      </c>
      <c r="C32" s="388" t="s">
        <v>6690</v>
      </c>
      <c r="D32" s="399" t="s">
        <v>6740</v>
      </c>
      <c r="E32" s="390" t="s">
        <v>6790</v>
      </c>
      <c r="F32" s="390" t="s">
        <v>6791</v>
      </c>
      <c r="G32" s="388" t="s">
        <v>103</v>
      </c>
    </row>
    <row r="33" spans="1:7" ht="33.950000000000003" customHeight="1">
      <c r="A33" s="387" t="s">
        <v>6792</v>
      </c>
      <c r="B33" s="388" t="s">
        <v>6789</v>
      </c>
      <c r="C33" s="388" t="s">
        <v>6690</v>
      </c>
      <c r="D33" s="399" t="s">
        <v>6740</v>
      </c>
      <c r="E33" s="390" t="s">
        <v>6793</v>
      </c>
      <c r="F33" s="390" t="s">
        <v>6794</v>
      </c>
      <c r="G33" s="388" t="s">
        <v>709</v>
      </c>
    </row>
    <row r="34" spans="1:7" ht="33.950000000000003" customHeight="1">
      <c r="A34" s="387" t="s">
        <v>6795</v>
      </c>
      <c r="B34" s="388" t="s">
        <v>6789</v>
      </c>
      <c r="C34" s="388" t="s">
        <v>6690</v>
      </c>
      <c r="D34" s="409" t="s">
        <v>6796</v>
      </c>
      <c r="E34" s="390" t="s">
        <v>6797</v>
      </c>
      <c r="F34" s="390" t="s">
        <v>6798</v>
      </c>
      <c r="G34" s="388" t="s">
        <v>103</v>
      </c>
    </row>
    <row r="35" spans="1:7" ht="33.950000000000003" customHeight="1">
      <c r="A35" s="387" t="s">
        <v>6799</v>
      </c>
      <c r="B35" s="388" t="s">
        <v>6789</v>
      </c>
      <c r="C35" s="388" t="s">
        <v>581</v>
      </c>
      <c r="D35" s="410" t="s">
        <v>6800</v>
      </c>
      <c r="E35" s="390" t="s">
        <v>6801</v>
      </c>
      <c r="F35" s="390" t="s">
        <v>6802</v>
      </c>
      <c r="G35" s="388" t="s">
        <v>6803</v>
      </c>
    </row>
    <row r="36" spans="1:7" ht="33.950000000000003" customHeight="1">
      <c r="A36" s="387" t="s">
        <v>6804</v>
      </c>
      <c r="B36" s="388" t="s">
        <v>6789</v>
      </c>
      <c r="C36" s="388" t="s">
        <v>581</v>
      </c>
      <c r="D36" s="411" t="s">
        <v>6805</v>
      </c>
      <c r="E36" s="390" t="s">
        <v>6806</v>
      </c>
      <c r="F36" s="390" t="s">
        <v>6807</v>
      </c>
      <c r="G36" s="388" t="s">
        <v>6708</v>
      </c>
    </row>
    <row r="37" spans="1:7" ht="33.950000000000003" customHeight="1">
      <c r="A37" s="387" t="s">
        <v>6808</v>
      </c>
      <c r="B37" s="388" t="s">
        <v>6789</v>
      </c>
      <c r="C37" s="388" t="s">
        <v>586</v>
      </c>
      <c r="D37" s="395" t="s">
        <v>6715</v>
      </c>
      <c r="E37" s="390" t="s">
        <v>6809</v>
      </c>
      <c r="F37" s="390" t="s">
        <v>6810</v>
      </c>
      <c r="G37" s="388" t="s">
        <v>103</v>
      </c>
    </row>
    <row r="38" spans="1:7" ht="33.950000000000003" customHeight="1">
      <c r="A38" s="387" t="s">
        <v>6811</v>
      </c>
      <c r="B38" s="388" t="s">
        <v>6812</v>
      </c>
      <c r="C38" s="388" t="s">
        <v>581</v>
      </c>
      <c r="D38" s="412" t="s">
        <v>6813</v>
      </c>
      <c r="E38" s="390" t="s">
        <v>6814</v>
      </c>
      <c r="F38" s="390" t="s">
        <v>6815</v>
      </c>
      <c r="G38" s="388" t="s">
        <v>6816</v>
      </c>
    </row>
    <row r="39" spans="1:7" ht="33.950000000000003" customHeight="1">
      <c r="A39" s="387" t="s">
        <v>6817</v>
      </c>
      <c r="B39" s="388" t="s">
        <v>6812</v>
      </c>
      <c r="C39" s="388" t="s">
        <v>6690</v>
      </c>
      <c r="D39" s="413" t="s">
        <v>6818</v>
      </c>
      <c r="E39" s="390" t="s">
        <v>6819</v>
      </c>
      <c r="F39" s="390" t="s">
        <v>6820</v>
      </c>
      <c r="G39" s="388" t="s">
        <v>709</v>
      </c>
    </row>
    <row r="40" spans="1:7" ht="33.950000000000003" customHeight="1">
      <c r="A40" s="387" t="s">
        <v>6821</v>
      </c>
      <c r="B40" s="388" t="s">
        <v>6812</v>
      </c>
      <c r="C40" s="388" t="s">
        <v>586</v>
      </c>
      <c r="D40" s="414" t="s">
        <v>6822</v>
      </c>
      <c r="E40" s="390" t="s">
        <v>6823</v>
      </c>
      <c r="F40" s="390" t="s">
        <v>6824</v>
      </c>
      <c r="G40" s="388" t="s">
        <v>103</v>
      </c>
    </row>
    <row r="41" spans="1:7" ht="33.950000000000003" customHeight="1">
      <c r="A41" s="387" t="s">
        <v>6825</v>
      </c>
      <c r="B41" s="388" t="s">
        <v>6812</v>
      </c>
      <c r="C41" s="388" t="s">
        <v>581</v>
      </c>
      <c r="D41" s="415" t="s">
        <v>6826</v>
      </c>
      <c r="E41" s="390" t="s">
        <v>6827</v>
      </c>
      <c r="F41" s="390" t="s">
        <v>6828</v>
      </c>
      <c r="G41" s="388" t="s">
        <v>6829</v>
      </c>
    </row>
    <row r="42" spans="1:7" ht="33.950000000000003" customHeight="1">
      <c r="A42" s="387" t="s">
        <v>6830</v>
      </c>
      <c r="B42" s="388" t="s">
        <v>6831</v>
      </c>
      <c r="C42" s="388" t="s">
        <v>581</v>
      </c>
      <c r="D42" s="416" t="s">
        <v>6832</v>
      </c>
      <c r="E42" s="390" t="s">
        <v>6833</v>
      </c>
      <c r="F42" s="390" t="s">
        <v>6834</v>
      </c>
      <c r="G42" s="388" t="s">
        <v>6835</v>
      </c>
    </row>
    <row r="43" spans="1:7" ht="33.950000000000003" customHeight="1">
      <c r="A43" s="387" t="s">
        <v>6836</v>
      </c>
      <c r="B43" s="388" t="s">
        <v>6831</v>
      </c>
      <c r="C43" s="388" t="s">
        <v>581</v>
      </c>
      <c r="D43" s="417" t="s">
        <v>6837</v>
      </c>
      <c r="E43" s="390" t="s">
        <v>6838</v>
      </c>
      <c r="F43" s="390" t="s">
        <v>6839</v>
      </c>
      <c r="G43" s="388" t="s">
        <v>6787</v>
      </c>
    </row>
    <row r="44" spans="1:7" ht="33.950000000000003" customHeight="1">
      <c r="A44" s="387" t="s">
        <v>6840</v>
      </c>
      <c r="B44" s="388" t="s">
        <v>6831</v>
      </c>
      <c r="C44" s="388" t="s">
        <v>581</v>
      </c>
      <c r="D44" s="418" t="s">
        <v>6841</v>
      </c>
      <c r="E44" s="390" t="s">
        <v>6842</v>
      </c>
      <c r="F44" s="390" t="s">
        <v>6843</v>
      </c>
      <c r="G44" s="388" t="s">
        <v>6787</v>
      </c>
    </row>
    <row r="45" spans="1:7" ht="33.950000000000003" customHeight="1">
      <c r="A45" s="387" t="s">
        <v>6844</v>
      </c>
      <c r="B45" s="388" t="s">
        <v>6845</v>
      </c>
      <c r="C45" s="388" t="s">
        <v>6690</v>
      </c>
      <c r="D45" s="419" t="s">
        <v>6846</v>
      </c>
      <c r="E45" s="390" t="s">
        <v>6847</v>
      </c>
      <c r="F45" s="390" t="s">
        <v>6848</v>
      </c>
      <c r="G45" s="388" t="s">
        <v>6787</v>
      </c>
    </row>
    <row r="46" spans="1:7" ht="33.950000000000003" customHeight="1">
      <c r="A46" s="387" t="s">
        <v>6849</v>
      </c>
      <c r="B46" s="388" t="s">
        <v>6850</v>
      </c>
      <c r="C46" s="388" t="s">
        <v>581</v>
      </c>
      <c r="D46" s="420" t="s">
        <v>6851</v>
      </c>
      <c r="E46" s="390" t="s">
        <v>6852</v>
      </c>
      <c r="F46" s="390" t="s">
        <v>6853</v>
      </c>
      <c r="G46" s="388" t="s">
        <v>6854</v>
      </c>
    </row>
    <row r="47" spans="1:7" ht="33.950000000000003" customHeight="1">
      <c r="A47" s="387" t="s">
        <v>6855</v>
      </c>
      <c r="B47" s="388" t="s">
        <v>6850</v>
      </c>
      <c r="C47" s="388" t="s">
        <v>581</v>
      </c>
      <c r="D47" s="421" t="s">
        <v>6856</v>
      </c>
      <c r="E47" s="390" t="s">
        <v>6857</v>
      </c>
      <c r="F47" s="390" t="s">
        <v>6858</v>
      </c>
      <c r="G47" s="388" t="s">
        <v>6854</v>
      </c>
    </row>
    <row r="48" spans="1:7" ht="33.950000000000003" customHeight="1">
      <c r="A48" s="387" t="s">
        <v>6859</v>
      </c>
      <c r="B48" s="388" t="s">
        <v>6850</v>
      </c>
      <c r="C48" s="388" t="s">
        <v>6690</v>
      </c>
      <c r="D48" s="406" t="s">
        <v>6774</v>
      </c>
      <c r="E48" s="390" t="s">
        <v>6860</v>
      </c>
      <c r="F48" s="390" t="s">
        <v>6861</v>
      </c>
      <c r="G48" s="388" t="s">
        <v>103</v>
      </c>
    </row>
    <row r="49" spans="1:7" ht="33.950000000000003" customHeight="1">
      <c r="A49" s="387" t="s">
        <v>6862</v>
      </c>
      <c r="B49" s="388" t="s">
        <v>6850</v>
      </c>
      <c r="C49" s="388" t="s">
        <v>581</v>
      </c>
      <c r="D49" s="422" t="s">
        <v>6863</v>
      </c>
      <c r="E49" s="390" t="s">
        <v>6864</v>
      </c>
      <c r="F49" s="390" t="s">
        <v>6865</v>
      </c>
      <c r="G49" s="388" t="s">
        <v>103</v>
      </c>
    </row>
    <row r="50" spans="1:7" ht="33.950000000000003" customHeight="1">
      <c r="A50" s="387" t="s">
        <v>6866</v>
      </c>
      <c r="B50" s="388" t="s">
        <v>6850</v>
      </c>
      <c r="C50" s="388" t="s">
        <v>6690</v>
      </c>
      <c r="D50" s="423" t="s">
        <v>6695</v>
      </c>
      <c r="E50" s="390" t="s">
        <v>6867</v>
      </c>
      <c r="F50" s="390" t="s">
        <v>6868</v>
      </c>
      <c r="G50" s="388" t="s">
        <v>103</v>
      </c>
    </row>
    <row r="51" spans="1:7" ht="33.950000000000003" customHeight="1">
      <c r="A51" s="387" t="s">
        <v>6869</v>
      </c>
      <c r="B51" s="388" t="s">
        <v>6850</v>
      </c>
      <c r="C51" s="388" t="s">
        <v>6690</v>
      </c>
      <c r="D51" s="424" t="s">
        <v>6870</v>
      </c>
      <c r="E51" s="390" t="s">
        <v>6871</v>
      </c>
      <c r="F51" s="390" t="s">
        <v>6872</v>
      </c>
      <c r="G51" s="388" t="s">
        <v>103</v>
      </c>
    </row>
    <row r="52" spans="1:7" ht="33.950000000000003" customHeight="1">
      <c r="A52" s="387" t="s">
        <v>6873</v>
      </c>
      <c r="B52" s="388" t="s">
        <v>6850</v>
      </c>
      <c r="C52" s="388" t="s">
        <v>581</v>
      </c>
      <c r="D52" s="425" t="s">
        <v>6874</v>
      </c>
      <c r="E52" s="390" t="s">
        <v>6875</v>
      </c>
      <c r="F52" s="390" t="s">
        <v>6876</v>
      </c>
      <c r="G52" s="388" t="s">
        <v>6729</v>
      </c>
    </row>
    <row r="53" spans="1:7" ht="33.950000000000003" customHeight="1">
      <c r="A53" s="387" t="s">
        <v>6877</v>
      </c>
      <c r="B53" s="388" t="s">
        <v>6850</v>
      </c>
      <c r="C53" s="388" t="s">
        <v>6690</v>
      </c>
      <c r="D53" s="426" t="s">
        <v>6878</v>
      </c>
      <c r="E53" s="390" t="s">
        <v>6879</v>
      </c>
      <c r="F53" s="390" t="s">
        <v>6880</v>
      </c>
      <c r="G53" s="388" t="s">
        <v>6729</v>
      </c>
    </row>
    <row r="54" spans="1:7" ht="33.950000000000003" customHeight="1">
      <c r="A54" s="387" t="s">
        <v>6881</v>
      </c>
      <c r="B54" s="388" t="s">
        <v>6850</v>
      </c>
      <c r="C54" s="388" t="s">
        <v>6690</v>
      </c>
      <c r="D54" s="427" t="s">
        <v>6882</v>
      </c>
      <c r="E54" s="390" t="s">
        <v>6883</v>
      </c>
      <c r="F54" s="390" t="s">
        <v>6884</v>
      </c>
      <c r="G54" s="388" t="s">
        <v>6685</v>
      </c>
    </row>
    <row r="55" spans="1:7" ht="33.950000000000003" customHeight="1">
      <c r="A55" s="387" t="s">
        <v>6885</v>
      </c>
      <c r="B55" s="388" t="s">
        <v>6850</v>
      </c>
      <c r="C55" s="388" t="s">
        <v>6690</v>
      </c>
      <c r="D55" s="427" t="s">
        <v>6882</v>
      </c>
      <c r="E55" s="390" t="s">
        <v>6886</v>
      </c>
      <c r="F55" s="390" t="s">
        <v>6887</v>
      </c>
      <c r="G55" s="388" t="s">
        <v>6729</v>
      </c>
    </row>
    <row r="56" spans="1:7" ht="33.950000000000003" customHeight="1">
      <c r="A56" s="387" t="s">
        <v>6888</v>
      </c>
      <c r="B56" s="388" t="s">
        <v>6850</v>
      </c>
      <c r="C56" s="388" t="s">
        <v>6690</v>
      </c>
      <c r="D56" s="428" t="s">
        <v>6889</v>
      </c>
      <c r="E56" s="390" t="s">
        <v>6890</v>
      </c>
      <c r="F56" s="390" t="s">
        <v>6891</v>
      </c>
      <c r="G56" s="388" t="s">
        <v>709</v>
      </c>
    </row>
    <row r="57" spans="1:7" ht="33.950000000000003" customHeight="1">
      <c r="A57" s="387" t="s">
        <v>116</v>
      </c>
      <c r="B57" s="388" t="s">
        <v>6850</v>
      </c>
      <c r="C57" s="388" t="s">
        <v>581</v>
      </c>
      <c r="D57" s="391" t="s">
        <v>6691</v>
      </c>
      <c r="E57" s="390" t="s">
        <v>6892</v>
      </c>
      <c r="F57" s="390" t="s">
        <v>6893</v>
      </c>
      <c r="G57" s="388" t="s">
        <v>6835</v>
      </c>
    </row>
    <row r="58" spans="1:7" ht="33.950000000000003" customHeight="1">
      <c r="A58" s="387" t="s">
        <v>6894</v>
      </c>
      <c r="B58" s="388" t="s">
        <v>6850</v>
      </c>
      <c r="C58" s="388" t="s">
        <v>581</v>
      </c>
      <c r="D58" s="429" t="s">
        <v>6895</v>
      </c>
      <c r="E58" s="390" t="s">
        <v>6896</v>
      </c>
      <c r="F58" s="390" t="s">
        <v>6897</v>
      </c>
      <c r="G58" s="388" t="s">
        <v>6835</v>
      </c>
    </row>
    <row r="59" spans="1:7" ht="33.950000000000003" customHeight="1">
      <c r="A59" s="387" t="s">
        <v>6898</v>
      </c>
      <c r="B59" s="388" t="s">
        <v>6850</v>
      </c>
      <c r="C59" s="388" t="s">
        <v>6690</v>
      </c>
      <c r="D59" s="430" t="s">
        <v>6899</v>
      </c>
      <c r="E59" s="390" t="s">
        <v>6900</v>
      </c>
      <c r="F59" s="390" t="s">
        <v>6901</v>
      </c>
      <c r="G59" s="388" t="s">
        <v>6854</v>
      </c>
    </row>
    <row r="60" spans="1:7" ht="33.950000000000003" customHeight="1">
      <c r="A60" s="387" t="s">
        <v>6902</v>
      </c>
      <c r="B60" s="388" t="s">
        <v>6850</v>
      </c>
      <c r="C60" s="388" t="s">
        <v>6690</v>
      </c>
      <c r="D60" s="431" t="s">
        <v>6702</v>
      </c>
      <c r="E60" s="390" t="s">
        <v>6903</v>
      </c>
      <c r="F60" s="390" t="s">
        <v>6904</v>
      </c>
      <c r="G60" s="388" t="s">
        <v>6905</v>
      </c>
    </row>
    <row r="61" spans="1:7" ht="33.950000000000003" customHeight="1">
      <c r="A61" s="387" t="s">
        <v>6906</v>
      </c>
      <c r="B61" s="388" t="s">
        <v>6850</v>
      </c>
      <c r="C61" s="388" t="s">
        <v>581</v>
      </c>
      <c r="D61" s="406" t="s">
        <v>6774</v>
      </c>
      <c r="E61" s="390" t="s">
        <v>6907</v>
      </c>
      <c r="F61" s="390" t="s">
        <v>6908</v>
      </c>
      <c r="G61" s="388" t="s">
        <v>6909</v>
      </c>
    </row>
    <row r="62" spans="1:7" ht="33.950000000000003" customHeight="1">
      <c r="A62" s="387" t="s">
        <v>6910</v>
      </c>
      <c r="B62" s="388" t="s">
        <v>6850</v>
      </c>
      <c r="C62" s="388" t="s">
        <v>6690</v>
      </c>
      <c r="D62" s="432" t="s">
        <v>6911</v>
      </c>
      <c r="E62" s="390" t="s">
        <v>6912</v>
      </c>
      <c r="F62" s="390" t="s">
        <v>6913</v>
      </c>
      <c r="G62" s="388" t="s">
        <v>6708</v>
      </c>
    </row>
    <row r="63" spans="1:7" ht="33.950000000000003" customHeight="1">
      <c r="A63" s="387" t="s">
        <v>6914</v>
      </c>
      <c r="B63" s="388" t="s">
        <v>6850</v>
      </c>
      <c r="C63" s="388" t="s">
        <v>581</v>
      </c>
      <c r="D63" s="433" t="s">
        <v>6915</v>
      </c>
      <c r="E63" s="390" t="s">
        <v>6916</v>
      </c>
      <c r="F63" s="390" t="s">
        <v>6917</v>
      </c>
      <c r="G63" s="388" t="s">
        <v>6708</v>
      </c>
    </row>
    <row r="64" spans="1:7" ht="33.950000000000003" customHeight="1">
      <c r="A64" s="387" t="s">
        <v>6918</v>
      </c>
      <c r="B64" s="388" t="s">
        <v>6919</v>
      </c>
      <c r="C64" s="388" t="s">
        <v>581</v>
      </c>
      <c r="D64" s="434" t="s">
        <v>6920</v>
      </c>
      <c r="E64" s="390" t="s">
        <v>6921</v>
      </c>
      <c r="F64" s="390" t="s">
        <v>6922</v>
      </c>
      <c r="G64" s="388" t="s">
        <v>6854</v>
      </c>
    </row>
    <row r="65" spans="1:7" ht="33.950000000000003" customHeight="1">
      <c r="A65" s="387" t="s">
        <v>6923</v>
      </c>
      <c r="B65" s="388" t="s">
        <v>6919</v>
      </c>
      <c r="C65" s="388" t="s">
        <v>581</v>
      </c>
      <c r="D65" s="434" t="s">
        <v>6920</v>
      </c>
      <c r="E65" s="390" t="s">
        <v>6924</v>
      </c>
      <c r="F65" s="390" t="s">
        <v>6925</v>
      </c>
      <c r="G65" s="388" t="s">
        <v>6854</v>
      </c>
    </row>
    <row r="66" spans="1:7" ht="33.950000000000003" customHeight="1">
      <c r="A66" s="387" t="s">
        <v>6926</v>
      </c>
      <c r="B66" s="388" t="s">
        <v>6919</v>
      </c>
      <c r="C66" s="388" t="s">
        <v>6690</v>
      </c>
      <c r="D66" s="407" t="s">
        <v>6778</v>
      </c>
      <c r="E66" s="390" t="s">
        <v>6927</v>
      </c>
      <c r="F66" s="390" t="s">
        <v>6928</v>
      </c>
      <c r="G66" s="388" t="s">
        <v>6929</v>
      </c>
    </row>
    <row r="67" spans="1:7" ht="33.950000000000003" customHeight="1">
      <c r="A67" s="387" t="s">
        <v>6930</v>
      </c>
      <c r="B67" s="388" t="s">
        <v>6919</v>
      </c>
      <c r="C67" s="388" t="s">
        <v>6690</v>
      </c>
      <c r="D67" s="435" t="s">
        <v>6931</v>
      </c>
      <c r="E67" s="390" t="s">
        <v>6932</v>
      </c>
      <c r="F67" s="390" t="s">
        <v>6933</v>
      </c>
      <c r="G67" s="388" t="s">
        <v>103</v>
      </c>
    </row>
    <row r="68" spans="1:7" ht="33.950000000000003" customHeight="1">
      <c r="A68" s="387" t="s">
        <v>6934</v>
      </c>
      <c r="B68" s="388" t="s">
        <v>6935</v>
      </c>
      <c r="C68" s="388" t="s">
        <v>6690</v>
      </c>
      <c r="D68" s="436" t="s">
        <v>6936</v>
      </c>
      <c r="E68" s="390" t="s">
        <v>6937</v>
      </c>
      <c r="F68" s="390" t="s">
        <v>6938</v>
      </c>
      <c r="G68" s="388" t="s">
        <v>6829</v>
      </c>
    </row>
    <row r="69" spans="1:7" ht="33.950000000000003" customHeight="1">
      <c r="A69" s="387" t="s">
        <v>6939</v>
      </c>
      <c r="B69" s="388" t="s">
        <v>6935</v>
      </c>
      <c r="C69" s="388" t="s">
        <v>6690</v>
      </c>
      <c r="D69" s="436" t="s">
        <v>6936</v>
      </c>
      <c r="E69" s="390" t="s">
        <v>6940</v>
      </c>
      <c r="F69" s="390" t="s">
        <v>6941</v>
      </c>
      <c r="G69" s="388" t="s">
        <v>6829</v>
      </c>
    </row>
    <row r="70" spans="1:7" ht="33.950000000000003" customHeight="1">
      <c r="A70" s="387" t="s">
        <v>6942</v>
      </c>
      <c r="B70" s="388" t="s">
        <v>6943</v>
      </c>
      <c r="C70" s="388" t="s">
        <v>6690</v>
      </c>
      <c r="D70" s="437" t="s">
        <v>6944</v>
      </c>
      <c r="E70" s="390" t="s">
        <v>6945</v>
      </c>
      <c r="F70" s="390" t="s">
        <v>6946</v>
      </c>
      <c r="G70" s="388" t="s">
        <v>6947</v>
      </c>
    </row>
    <row r="71" spans="1:7" ht="33.950000000000003" customHeight="1">
      <c r="A71" s="387" t="s">
        <v>6948</v>
      </c>
      <c r="B71" s="388" t="s">
        <v>6949</v>
      </c>
      <c r="C71" s="388" t="s">
        <v>581</v>
      </c>
      <c r="D71" s="438" t="s">
        <v>6950</v>
      </c>
      <c r="E71" s="390" t="s">
        <v>6951</v>
      </c>
      <c r="F71" s="390" t="s">
        <v>6952</v>
      </c>
      <c r="G71" s="388" t="s">
        <v>6829</v>
      </c>
    </row>
    <row r="72" spans="1:7" ht="33.950000000000003" customHeight="1">
      <c r="A72" s="387" t="s">
        <v>6953</v>
      </c>
      <c r="B72" s="388" t="s">
        <v>6949</v>
      </c>
      <c r="C72" s="388" t="s">
        <v>581</v>
      </c>
      <c r="D72" s="439" t="s">
        <v>6954</v>
      </c>
      <c r="E72" s="390" t="s">
        <v>6955</v>
      </c>
      <c r="F72" s="390" t="s">
        <v>6956</v>
      </c>
      <c r="G72" s="388" t="s">
        <v>6829</v>
      </c>
    </row>
    <row r="73" spans="1:7" ht="33.950000000000003" customHeight="1">
      <c r="A73" s="387" t="s">
        <v>6957</v>
      </c>
      <c r="B73" s="388" t="s">
        <v>6949</v>
      </c>
      <c r="C73" s="388" t="s">
        <v>586</v>
      </c>
      <c r="D73" s="412" t="s">
        <v>6813</v>
      </c>
      <c r="E73" s="390" t="s">
        <v>6958</v>
      </c>
      <c r="F73" s="390" t="s">
        <v>6959</v>
      </c>
      <c r="G73" s="388" t="s">
        <v>715</v>
      </c>
    </row>
    <row r="74" spans="1:7" ht="33.950000000000003" customHeight="1">
      <c r="A74" s="387" t="s">
        <v>6960</v>
      </c>
      <c r="B74" s="388" t="s">
        <v>6961</v>
      </c>
      <c r="C74" s="388" t="s">
        <v>6690</v>
      </c>
      <c r="D74" s="413" t="s">
        <v>6818</v>
      </c>
      <c r="E74" s="390" t="s">
        <v>6962</v>
      </c>
      <c r="F74" s="390" t="s">
        <v>6963</v>
      </c>
      <c r="G74" s="388" t="s">
        <v>6718</v>
      </c>
    </row>
    <row r="75" spans="1:7" ht="33.950000000000003" customHeight="1">
      <c r="A75" s="387" t="s">
        <v>6964</v>
      </c>
      <c r="B75" s="388" t="s">
        <v>6961</v>
      </c>
      <c r="C75" s="388" t="s">
        <v>6690</v>
      </c>
      <c r="D75" s="440" t="s">
        <v>6965</v>
      </c>
      <c r="E75" s="390" t="s">
        <v>6966</v>
      </c>
      <c r="F75" s="390" t="s">
        <v>6967</v>
      </c>
      <c r="G75" s="388" t="s">
        <v>6718</v>
      </c>
    </row>
    <row r="76" spans="1:7" ht="33.950000000000003" customHeight="1">
      <c r="A76" s="387" t="s">
        <v>6968</v>
      </c>
      <c r="B76" s="388" t="s">
        <v>6961</v>
      </c>
      <c r="C76" s="388" t="s">
        <v>581</v>
      </c>
      <c r="D76" s="414" t="s">
        <v>6822</v>
      </c>
      <c r="E76" s="390" t="s">
        <v>6969</v>
      </c>
      <c r="F76" s="390" t="s">
        <v>6970</v>
      </c>
      <c r="G76" s="388" t="s">
        <v>6854</v>
      </c>
    </row>
    <row r="77" spans="1:7" ht="33.950000000000003" customHeight="1">
      <c r="A77" s="387" t="s">
        <v>6971</v>
      </c>
      <c r="B77" s="388" t="s">
        <v>6961</v>
      </c>
      <c r="C77" s="388" t="s">
        <v>581</v>
      </c>
      <c r="D77" s="441" t="s">
        <v>6972</v>
      </c>
      <c r="E77" s="390" t="s">
        <v>6973</v>
      </c>
      <c r="F77" s="390" t="s">
        <v>6974</v>
      </c>
      <c r="G77" s="388" t="s">
        <v>6835</v>
      </c>
    </row>
    <row r="78" spans="1:7" ht="33.950000000000003" customHeight="1">
      <c r="A78" s="387" t="s">
        <v>6975</v>
      </c>
      <c r="B78" s="388" t="s">
        <v>6961</v>
      </c>
      <c r="C78" s="388" t="s">
        <v>581</v>
      </c>
      <c r="D78" s="413" t="s">
        <v>6818</v>
      </c>
      <c r="E78" s="390" t="s">
        <v>6976</v>
      </c>
      <c r="F78" s="390" t="s">
        <v>6977</v>
      </c>
      <c r="G78" s="388" t="s">
        <v>6718</v>
      </c>
    </row>
    <row r="79" spans="1:7" ht="33.950000000000003" customHeight="1">
      <c r="A79" s="387" t="s">
        <v>6978</v>
      </c>
      <c r="B79" s="388" t="s">
        <v>6979</v>
      </c>
      <c r="C79" s="388" t="s">
        <v>581</v>
      </c>
      <c r="D79" s="442" t="s">
        <v>6980</v>
      </c>
      <c r="E79" s="390" t="s">
        <v>6981</v>
      </c>
      <c r="F79" s="390" t="s">
        <v>6982</v>
      </c>
      <c r="G79" s="388" t="s">
        <v>6708</v>
      </c>
    </row>
    <row r="80" spans="1:7" ht="33.950000000000003" customHeight="1">
      <c r="A80" s="387" t="s">
        <v>6983</v>
      </c>
      <c r="B80" s="388" t="s">
        <v>6984</v>
      </c>
      <c r="C80" s="388" t="s">
        <v>6690</v>
      </c>
      <c r="D80" s="443" t="s">
        <v>6985</v>
      </c>
      <c r="E80" s="390" t="s">
        <v>6986</v>
      </c>
      <c r="F80" s="390" t="s">
        <v>6987</v>
      </c>
      <c r="G80" s="388" t="s">
        <v>6718</v>
      </c>
    </row>
    <row r="82" spans="1:7" ht="33.950000000000003" customHeight="1">
      <c r="A82" s="444" t="s">
        <v>6988</v>
      </c>
      <c r="B82" s="445"/>
      <c r="C82" s="445"/>
      <c r="D82" s="445"/>
      <c r="E82" s="445"/>
      <c r="F82" s="445"/>
      <c r="G82" s="445"/>
    </row>
  </sheetData>
  <mergeCells count="1">
    <mergeCell ref="A1:G1"/>
  </mergeCells>
  <conditionalFormatting sqref="B5:B80">
    <cfRule type="expression" dxfId="20" priority="1">
      <formula>B5="AMER"</formula>
    </cfRule>
    <cfRule type="expression" dxfId="19" priority="2">
      <formula>B5="SEC"</formula>
    </cfRule>
    <cfRule type="expression" dxfId="18" priority="3">
      <formula>B5="ACIDULÉ"</formula>
    </cfRule>
    <cfRule type="expression" dxfId="17" priority="4">
      <formula>B5="FRAIS"</formula>
    </cfRule>
    <cfRule type="expression" dxfId="16" priority="5">
      <formula>B5="DOUX"</formula>
    </cfRule>
    <cfRule type="expression" dxfId="15" priority="6">
      <formula>B5="AROMATIQUE"</formula>
    </cfRule>
    <cfRule type="expression" dxfId="14" priority="7">
      <formula>B5="FLORAL"</formula>
    </cfRule>
    <cfRule type="expression" dxfId="13" priority="8">
      <formula>B5="FRUITÉ"</formula>
    </cfRule>
    <cfRule type="expression" dxfId="12" priority="9">
      <formula>B5="ÉPICÉ"</formula>
    </cfRule>
    <cfRule type="expression" dxfId="11" priority="10">
      <formula>B5="CAFÉ"</formula>
    </cfRule>
    <cfRule type="expression" dxfId="10" priority="11">
      <formula>B5="CHAUD"</formula>
    </cfRule>
    <cfRule type="expression" dxfId="9" priority="12">
      <formula>B5="CRÉMEUX"</formula>
    </cfRule>
    <cfRule type="expression" dxfId="8" priority="13">
      <formula>B5="ALCOOLISÉ"</formula>
    </cfRule>
    <cfRule type="expression" dxfId="7" priority="14">
      <formula>B5="FUMÉ"</formula>
    </cfRule>
    <cfRule type="expression" dxfId="6" priority="15">
      <formula>B5="SALÉ"</formula>
    </cfRule>
  </conditionalFormatting>
  <conditionalFormatting sqref="C5:C80">
    <cfRule type="expression" dxfId="5" priority="16">
      <formula>C5="****"</formula>
    </cfRule>
    <cfRule type="expression" dxfId="4" priority="17">
      <formula>C5="***"</formula>
    </cfRule>
    <cfRule type="expression" dxfId="3" priority="18">
      <formula>C5="**"</formula>
    </cfRule>
    <cfRule type="expression" dxfId="2" priority="19">
      <formula>C5="*"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55CCB-2685-49AF-A905-50126761067F}">
  <dimension ref="A1:K60"/>
  <sheetViews>
    <sheetView workbookViewId="0">
      <selection activeCell="A3" sqref="A3"/>
    </sheetView>
  </sheetViews>
  <sheetFormatPr baseColWidth="10" defaultColWidth="10.28515625" defaultRowHeight="15"/>
  <cols>
    <col min="1" max="1" width="27.42578125" style="1" customWidth="1"/>
    <col min="2" max="2" width="35.42578125" style="1" customWidth="1"/>
    <col min="3" max="3" width="10.28515625" style="1" customWidth="1"/>
    <col min="4" max="4" width="32" style="1" customWidth="1"/>
    <col min="5" max="5" width="48" style="1" customWidth="1"/>
    <col min="6" max="6" width="41.140625" style="1" customWidth="1"/>
    <col min="7" max="7" width="43.42578125" style="1" customWidth="1"/>
    <col min="8" max="8" width="3.42578125" style="1" customWidth="1"/>
    <col min="9" max="9" width="29.7109375" style="1" customWidth="1"/>
    <col min="10" max="10" width="43.42578125" style="1" customWidth="1"/>
    <col min="11" max="11" width="59.42578125" style="1" customWidth="1"/>
    <col min="12" max="16384" width="10.28515625" style="1"/>
  </cols>
  <sheetData>
    <row r="1" spans="1:11" ht="30" customHeight="1">
      <c r="A1" s="762" t="s">
        <v>6403</v>
      </c>
      <c r="B1" s="762"/>
      <c r="C1" s="762"/>
      <c r="D1" s="762"/>
      <c r="E1" s="762"/>
      <c r="F1" s="762"/>
      <c r="G1" s="762"/>
      <c r="H1" s="297"/>
      <c r="I1" s="297"/>
      <c r="J1" s="297"/>
      <c r="K1" s="297"/>
    </row>
    <row r="2" spans="1:11" ht="24" customHeight="1">
      <c r="A2" s="764" t="s">
        <v>6404</v>
      </c>
      <c r="B2" s="764"/>
      <c r="C2" s="764"/>
      <c r="D2" s="764"/>
      <c r="E2" s="764"/>
      <c r="F2" s="764"/>
      <c r="G2" s="764"/>
      <c r="H2" s="298"/>
      <c r="I2" s="695" t="s">
        <v>548</v>
      </c>
      <c r="J2" s="298"/>
      <c r="K2" s="298"/>
    </row>
    <row r="3" spans="1:11" ht="15.75">
      <c r="A3" s="216" t="s">
        <v>7266</v>
      </c>
      <c r="B3" s="298"/>
      <c r="C3" s="298"/>
      <c r="D3" s="298"/>
      <c r="E3" s="298"/>
      <c r="F3" s="298"/>
      <c r="G3" s="298"/>
      <c r="H3" s="298"/>
      <c r="I3" s="298"/>
      <c r="J3" s="298"/>
      <c r="K3" s="298"/>
    </row>
    <row r="4" spans="1:11" ht="18.75">
      <c r="A4" s="299" t="s">
        <v>6405</v>
      </c>
      <c r="B4" s="299" t="s">
        <v>6406</v>
      </c>
      <c r="C4" s="300" t="s">
        <v>6407</v>
      </c>
      <c r="D4" s="301"/>
      <c r="E4" s="301"/>
      <c r="F4" s="301"/>
      <c r="G4" s="301"/>
      <c r="H4" s="298"/>
      <c r="I4" s="765" t="s">
        <v>6408</v>
      </c>
      <c r="J4" s="765"/>
      <c r="K4" s="765"/>
    </row>
    <row r="5" spans="1:11" ht="33.950000000000003" customHeight="1">
      <c r="A5" s="302" t="s">
        <v>1784</v>
      </c>
      <c r="B5" s="303" t="s">
        <v>6409</v>
      </c>
      <c r="C5" s="303" t="s">
        <v>6410</v>
      </c>
      <c r="D5" s="303"/>
      <c r="E5" s="303"/>
      <c r="F5" s="303"/>
      <c r="G5" s="303"/>
      <c r="H5" s="298"/>
      <c r="I5" s="304" t="s">
        <v>908</v>
      </c>
      <c r="J5" s="305" t="s">
        <v>6411</v>
      </c>
      <c r="K5" s="305" t="s">
        <v>168</v>
      </c>
    </row>
    <row r="6" spans="1:11" ht="33.950000000000003" customHeight="1">
      <c r="A6" s="306" t="s">
        <v>1788</v>
      </c>
      <c r="B6" s="303" t="s">
        <v>6412</v>
      </c>
      <c r="C6" s="303" t="s">
        <v>6413</v>
      </c>
      <c r="D6" s="303"/>
      <c r="E6" s="303"/>
      <c r="F6" s="303"/>
      <c r="G6" s="303"/>
      <c r="H6" s="298"/>
      <c r="I6" s="307">
        <v>1</v>
      </c>
      <c r="J6" s="308" t="s">
        <v>878</v>
      </c>
      <c r="K6" s="309" t="s">
        <v>6414</v>
      </c>
    </row>
    <row r="7" spans="1:11" ht="33.950000000000003" customHeight="1">
      <c r="A7" s="310" t="s">
        <v>6415</v>
      </c>
      <c r="B7" s="303" t="s">
        <v>6416</v>
      </c>
      <c r="C7" s="303" t="s">
        <v>6417</v>
      </c>
      <c r="D7" s="303"/>
      <c r="E7" s="303"/>
      <c r="F7" s="303"/>
      <c r="G7" s="303"/>
      <c r="H7" s="298"/>
      <c r="I7" s="307">
        <v>2</v>
      </c>
      <c r="J7" s="308" t="s">
        <v>869</v>
      </c>
      <c r="K7" s="309" t="s">
        <v>6418</v>
      </c>
    </row>
    <row r="8" spans="1:11" ht="15.75">
      <c r="A8" s="298"/>
      <c r="B8" s="298"/>
      <c r="C8" s="298"/>
      <c r="D8" s="298"/>
      <c r="E8" s="298"/>
      <c r="F8" s="298"/>
      <c r="G8" s="298"/>
      <c r="H8" s="298"/>
      <c r="I8" s="307">
        <v>3</v>
      </c>
      <c r="J8" s="308" t="s">
        <v>886</v>
      </c>
      <c r="K8" s="309" t="s">
        <v>6419</v>
      </c>
    </row>
    <row r="9" spans="1:11" ht="33.950000000000003" customHeight="1">
      <c r="A9" s="311" t="s">
        <v>10</v>
      </c>
      <c r="B9" s="91" t="s">
        <v>6420</v>
      </c>
      <c r="C9" s="91" t="s">
        <v>6405</v>
      </c>
      <c r="D9" s="91" t="s">
        <v>6421</v>
      </c>
      <c r="E9" s="312" t="s">
        <v>6422</v>
      </c>
      <c r="F9" s="312" t="s">
        <v>6423</v>
      </c>
      <c r="G9" s="312" t="s">
        <v>6424</v>
      </c>
      <c r="H9" s="298"/>
      <c r="I9" s="307">
        <v>4</v>
      </c>
      <c r="J9" s="308" t="s">
        <v>896</v>
      </c>
      <c r="K9" s="309" t="s">
        <v>6425</v>
      </c>
    </row>
    <row r="10" spans="1:11" ht="42" customHeight="1">
      <c r="A10" s="313" t="s">
        <v>6426</v>
      </c>
      <c r="B10" s="348" t="s">
        <v>888</v>
      </c>
      <c r="C10" s="315" t="s">
        <v>1784</v>
      </c>
      <c r="D10" s="314" t="s">
        <v>888</v>
      </c>
      <c r="E10" s="316" t="s">
        <v>6427</v>
      </c>
      <c r="F10" s="316" t="s">
        <v>6428</v>
      </c>
      <c r="G10" s="316" t="s">
        <v>6429</v>
      </c>
      <c r="H10" s="298"/>
      <c r="I10" s="307">
        <v>5</v>
      </c>
      <c r="J10" s="308" t="s">
        <v>853</v>
      </c>
      <c r="K10" s="309" t="s">
        <v>6430</v>
      </c>
    </row>
    <row r="11" spans="1:11" ht="42" customHeight="1">
      <c r="A11" s="313" t="s">
        <v>6426</v>
      </c>
      <c r="B11" s="348" t="s">
        <v>6431</v>
      </c>
      <c r="C11" s="315" t="s">
        <v>1784</v>
      </c>
      <c r="D11" s="314" t="s">
        <v>888</v>
      </c>
      <c r="E11" s="316" t="s">
        <v>6432</v>
      </c>
      <c r="F11" s="316" t="s">
        <v>6433</v>
      </c>
      <c r="G11" s="316" t="s">
        <v>6434</v>
      </c>
      <c r="H11" s="298"/>
      <c r="I11" s="307">
        <v>6</v>
      </c>
      <c r="J11" s="308" t="s">
        <v>871</v>
      </c>
      <c r="K11" s="309" t="s">
        <v>6435</v>
      </c>
    </row>
    <row r="12" spans="1:11" ht="42" customHeight="1">
      <c r="A12" s="313" t="s">
        <v>6426</v>
      </c>
      <c r="B12" s="348" t="s">
        <v>6436</v>
      </c>
      <c r="C12" s="315" t="s">
        <v>1784</v>
      </c>
      <c r="D12" s="314" t="s">
        <v>888</v>
      </c>
      <c r="E12" s="316" t="s">
        <v>6437</v>
      </c>
      <c r="F12" s="316" t="s">
        <v>6438</v>
      </c>
      <c r="G12" s="316" t="s">
        <v>6439</v>
      </c>
      <c r="H12" s="298"/>
      <c r="I12" s="307">
        <v>7</v>
      </c>
      <c r="J12" s="308" t="s">
        <v>888</v>
      </c>
      <c r="K12" s="309" t="s">
        <v>6440</v>
      </c>
    </row>
    <row r="13" spans="1:11" ht="42" customHeight="1">
      <c r="A13" s="313" t="s">
        <v>6426</v>
      </c>
      <c r="B13" s="348" t="s">
        <v>6441</v>
      </c>
      <c r="C13" s="315" t="s">
        <v>1784</v>
      </c>
      <c r="D13" s="314" t="s">
        <v>888</v>
      </c>
      <c r="E13" s="316" t="s">
        <v>6432</v>
      </c>
      <c r="F13" s="316" t="s">
        <v>6433</v>
      </c>
      <c r="G13" s="316" t="s">
        <v>6442</v>
      </c>
      <c r="H13" s="298"/>
      <c r="I13" s="307">
        <v>8</v>
      </c>
      <c r="J13" s="308" t="s">
        <v>898</v>
      </c>
      <c r="K13" s="309" t="s">
        <v>6443</v>
      </c>
    </row>
    <row r="14" spans="1:11" ht="42" customHeight="1">
      <c r="A14" s="313" t="s">
        <v>6426</v>
      </c>
      <c r="B14" s="348" t="s">
        <v>6444</v>
      </c>
      <c r="C14" s="315" t="s">
        <v>1784</v>
      </c>
      <c r="D14" s="314" t="s">
        <v>888</v>
      </c>
      <c r="E14" s="316" t="s">
        <v>6432</v>
      </c>
      <c r="F14" s="316" t="s">
        <v>6433</v>
      </c>
      <c r="G14" s="316" t="s">
        <v>6445</v>
      </c>
      <c r="H14" s="298"/>
      <c r="I14" s="307">
        <v>9</v>
      </c>
      <c r="J14" s="308" t="s">
        <v>855</v>
      </c>
      <c r="K14" s="309" t="s">
        <v>6446</v>
      </c>
    </row>
    <row r="15" spans="1:11" ht="42" customHeight="1">
      <c r="A15" s="313" t="s">
        <v>6426</v>
      </c>
      <c r="B15" s="348" t="s">
        <v>6447</v>
      </c>
      <c r="C15" s="315" t="s">
        <v>1784</v>
      </c>
      <c r="D15" s="314" t="s">
        <v>886</v>
      </c>
      <c r="E15" s="316" t="s">
        <v>6427</v>
      </c>
      <c r="F15" s="316" t="s">
        <v>6448</v>
      </c>
      <c r="G15" s="316" t="s">
        <v>6449</v>
      </c>
      <c r="H15" s="298"/>
      <c r="I15" s="307">
        <v>10</v>
      </c>
      <c r="J15" s="308" t="s">
        <v>873</v>
      </c>
      <c r="K15" s="309" t="s">
        <v>6450</v>
      </c>
    </row>
    <row r="16" spans="1:11" ht="42" customHeight="1">
      <c r="A16" s="313" t="s">
        <v>6426</v>
      </c>
      <c r="B16" s="348" t="s">
        <v>6451</v>
      </c>
      <c r="C16" s="315" t="s">
        <v>1784</v>
      </c>
      <c r="D16" s="314" t="s">
        <v>886</v>
      </c>
      <c r="E16" s="316" t="s">
        <v>6427</v>
      </c>
      <c r="F16" s="316" t="s">
        <v>6448</v>
      </c>
      <c r="G16" s="316" t="s">
        <v>6452</v>
      </c>
      <c r="H16" s="298"/>
      <c r="I16" s="307">
        <v>11</v>
      </c>
      <c r="J16" s="308" t="s">
        <v>890</v>
      </c>
      <c r="K16" s="309" t="s">
        <v>6453</v>
      </c>
    </row>
    <row r="17" spans="1:11" ht="42" customHeight="1">
      <c r="A17" s="313" t="s">
        <v>6426</v>
      </c>
      <c r="B17" s="348" t="s">
        <v>6454</v>
      </c>
      <c r="C17" s="315" t="s">
        <v>1784</v>
      </c>
      <c r="D17" s="314" t="s">
        <v>886</v>
      </c>
      <c r="E17" s="316" t="s">
        <v>6427</v>
      </c>
      <c r="F17" s="316" t="s">
        <v>6448</v>
      </c>
      <c r="G17" s="316" t="s">
        <v>6455</v>
      </c>
      <c r="H17" s="298"/>
      <c r="I17" s="307">
        <v>12</v>
      </c>
      <c r="J17" s="308" t="s">
        <v>6456</v>
      </c>
      <c r="K17" s="309" t="s">
        <v>6457</v>
      </c>
    </row>
    <row r="18" spans="1:11" ht="42" customHeight="1">
      <c r="A18" s="313" t="s">
        <v>6426</v>
      </c>
      <c r="B18" s="348" t="s">
        <v>6458</v>
      </c>
      <c r="C18" s="315" t="s">
        <v>1784</v>
      </c>
      <c r="D18" s="314" t="s">
        <v>888</v>
      </c>
      <c r="E18" s="316" t="s">
        <v>6459</v>
      </c>
      <c r="F18" s="316" t="s">
        <v>6460</v>
      </c>
      <c r="G18" s="316" t="s">
        <v>6461</v>
      </c>
      <c r="H18" s="298"/>
      <c r="I18" s="307">
        <v>13</v>
      </c>
      <c r="J18" s="308" t="s">
        <v>857</v>
      </c>
      <c r="K18" s="309" t="s">
        <v>6462</v>
      </c>
    </row>
    <row r="19" spans="1:11" ht="42" customHeight="1">
      <c r="A19" s="313" t="s">
        <v>6426</v>
      </c>
      <c r="B19" s="348" t="s">
        <v>6463</v>
      </c>
      <c r="C19" s="315" t="s">
        <v>1784</v>
      </c>
      <c r="D19" s="314" t="s">
        <v>6464</v>
      </c>
      <c r="E19" s="316" t="s">
        <v>6465</v>
      </c>
      <c r="F19" s="316" t="s">
        <v>6466</v>
      </c>
      <c r="G19" s="316" t="s">
        <v>6467</v>
      </c>
      <c r="H19" s="298"/>
      <c r="I19" s="307">
        <v>14</v>
      </c>
      <c r="J19" s="308" t="s">
        <v>875</v>
      </c>
      <c r="K19" s="309" t="s">
        <v>6468</v>
      </c>
    </row>
    <row r="20" spans="1:11" ht="42" customHeight="1">
      <c r="A20" s="317" t="s">
        <v>6469</v>
      </c>
      <c r="B20" s="349" t="s">
        <v>6470</v>
      </c>
      <c r="C20" s="315" t="s">
        <v>1784</v>
      </c>
      <c r="D20" s="318" t="s">
        <v>6471</v>
      </c>
      <c r="E20" s="319" t="s">
        <v>6472</v>
      </c>
      <c r="F20" s="319" t="s">
        <v>6473</v>
      </c>
      <c r="G20" s="319" t="s">
        <v>6474</v>
      </c>
      <c r="H20" s="298"/>
      <c r="I20" s="308"/>
      <c r="J20" s="308"/>
      <c r="K20" s="309"/>
    </row>
    <row r="21" spans="1:11" ht="42" customHeight="1">
      <c r="A21" s="317" t="s">
        <v>6469</v>
      </c>
      <c r="B21" s="349" t="s">
        <v>6475</v>
      </c>
      <c r="C21" s="315" t="s">
        <v>1784</v>
      </c>
      <c r="D21" s="318" t="s">
        <v>6476</v>
      </c>
      <c r="E21" s="319" t="s">
        <v>6477</v>
      </c>
      <c r="F21" s="319" t="s">
        <v>6473</v>
      </c>
      <c r="G21" s="319" t="s">
        <v>6478</v>
      </c>
      <c r="H21" s="298"/>
      <c r="I21" s="765" t="s">
        <v>6479</v>
      </c>
      <c r="J21" s="765"/>
      <c r="K21" s="765"/>
    </row>
    <row r="22" spans="1:11" ht="42" customHeight="1">
      <c r="A22" s="317" t="s">
        <v>6469</v>
      </c>
      <c r="B22" s="349" t="s">
        <v>6480</v>
      </c>
      <c r="C22" s="315" t="s">
        <v>1784</v>
      </c>
      <c r="D22" s="318" t="s">
        <v>6471</v>
      </c>
      <c r="E22" s="319" t="s">
        <v>6472</v>
      </c>
      <c r="F22" s="319" t="s">
        <v>6473</v>
      </c>
      <c r="G22" s="319" t="s">
        <v>6481</v>
      </c>
      <c r="H22" s="298"/>
      <c r="I22" s="320" t="s">
        <v>259</v>
      </c>
      <c r="J22" s="321" t="s">
        <v>6482</v>
      </c>
      <c r="K22" s="321" t="s">
        <v>6483</v>
      </c>
    </row>
    <row r="23" spans="1:11" ht="42" customHeight="1">
      <c r="A23" s="317" t="s">
        <v>6469</v>
      </c>
      <c r="B23" s="349" t="s">
        <v>6484</v>
      </c>
      <c r="C23" s="315" t="s">
        <v>1784</v>
      </c>
      <c r="D23" s="318" t="s">
        <v>6476</v>
      </c>
      <c r="E23" s="319" t="s">
        <v>6477</v>
      </c>
      <c r="F23" s="319" t="s">
        <v>6473</v>
      </c>
      <c r="G23" s="319" t="s">
        <v>6485</v>
      </c>
      <c r="H23" s="298"/>
      <c r="I23" s="320" t="s">
        <v>262</v>
      </c>
      <c r="J23" s="321" t="s">
        <v>6486</v>
      </c>
      <c r="K23" s="322" t="s">
        <v>6487</v>
      </c>
    </row>
    <row r="24" spans="1:11" ht="42" customHeight="1">
      <c r="A24" s="317" t="s">
        <v>6469</v>
      </c>
      <c r="B24" s="349" t="s">
        <v>6488</v>
      </c>
      <c r="C24" s="315" t="s">
        <v>1784</v>
      </c>
      <c r="D24" s="318" t="s">
        <v>6489</v>
      </c>
      <c r="E24" s="319" t="s">
        <v>6490</v>
      </c>
      <c r="F24" s="319" t="s">
        <v>6491</v>
      </c>
      <c r="G24" s="319" t="s">
        <v>6492</v>
      </c>
      <c r="H24" s="298"/>
      <c r="I24" s="320" t="s">
        <v>430</v>
      </c>
      <c r="J24" s="321" t="s">
        <v>6493</v>
      </c>
      <c r="K24" s="321" t="s">
        <v>6494</v>
      </c>
    </row>
    <row r="25" spans="1:11" ht="42" customHeight="1">
      <c r="A25" s="317" t="s">
        <v>6469</v>
      </c>
      <c r="B25" s="349" t="s">
        <v>6495</v>
      </c>
      <c r="C25" s="315" t="s">
        <v>1784</v>
      </c>
      <c r="D25" s="318" t="s">
        <v>853</v>
      </c>
      <c r="E25" s="319" t="s">
        <v>6496</v>
      </c>
      <c r="F25" s="319" t="s">
        <v>6497</v>
      </c>
      <c r="G25" s="319" t="s">
        <v>6498</v>
      </c>
      <c r="H25" s="298"/>
      <c r="I25" s="320" t="s">
        <v>434</v>
      </c>
      <c r="J25" s="321" t="s">
        <v>6499</v>
      </c>
      <c r="K25" s="321" t="s">
        <v>6500</v>
      </c>
    </row>
    <row r="26" spans="1:11" ht="42" customHeight="1">
      <c r="A26" s="317" t="s">
        <v>6469</v>
      </c>
      <c r="B26" s="349" t="s">
        <v>6501</v>
      </c>
      <c r="C26" s="315" t="s">
        <v>1784</v>
      </c>
      <c r="D26" s="318" t="s">
        <v>890</v>
      </c>
      <c r="E26" s="319" t="s">
        <v>6502</v>
      </c>
      <c r="F26" s="319" t="s">
        <v>6503</v>
      </c>
      <c r="G26" s="319" t="s">
        <v>6504</v>
      </c>
      <c r="H26" s="298"/>
      <c r="I26" s="298"/>
      <c r="J26" s="298"/>
      <c r="K26" s="298"/>
    </row>
    <row r="27" spans="1:11" ht="42" customHeight="1">
      <c r="A27" s="317" t="s">
        <v>6469</v>
      </c>
      <c r="B27" s="349" t="s">
        <v>6505</v>
      </c>
      <c r="C27" s="323" t="s">
        <v>1788</v>
      </c>
      <c r="D27" s="318" t="s">
        <v>6506</v>
      </c>
      <c r="E27" s="319" t="s">
        <v>6507</v>
      </c>
      <c r="F27" s="319" t="s">
        <v>6508</v>
      </c>
      <c r="G27" s="319" t="s">
        <v>6509</v>
      </c>
      <c r="H27" s="298"/>
      <c r="I27" s="765" t="s">
        <v>6510</v>
      </c>
      <c r="J27" s="765"/>
      <c r="K27" s="765"/>
    </row>
    <row r="28" spans="1:11" ht="42" customHeight="1">
      <c r="A28" s="317" t="s">
        <v>6469</v>
      </c>
      <c r="B28" s="349" t="s">
        <v>582</v>
      </c>
      <c r="C28" s="323" t="s">
        <v>1788</v>
      </c>
      <c r="D28" s="318" t="s">
        <v>6506</v>
      </c>
      <c r="E28" s="319" t="s">
        <v>6511</v>
      </c>
      <c r="F28" s="319" t="s">
        <v>6512</v>
      </c>
      <c r="G28" s="319" t="s">
        <v>6513</v>
      </c>
      <c r="H28" s="298"/>
      <c r="I28" s="324" t="s">
        <v>1306</v>
      </c>
      <c r="J28" s="325" t="s">
        <v>6514</v>
      </c>
      <c r="K28" s="326" t="s">
        <v>6515</v>
      </c>
    </row>
    <row r="29" spans="1:11" ht="42" customHeight="1">
      <c r="A29" s="317" t="s">
        <v>6469</v>
      </c>
      <c r="B29" s="349" t="s">
        <v>6516</v>
      </c>
      <c r="C29" s="323" t="s">
        <v>1788</v>
      </c>
      <c r="D29" s="318" t="s">
        <v>6517</v>
      </c>
      <c r="E29" s="319" t="s">
        <v>6518</v>
      </c>
      <c r="F29" s="319" t="s">
        <v>6519</v>
      </c>
      <c r="G29" s="319" t="s">
        <v>6520</v>
      </c>
      <c r="H29" s="298"/>
      <c r="I29" s="325" t="s">
        <v>6521</v>
      </c>
      <c r="J29" s="325" t="s">
        <v>6522</v>
      </c>
      <c r="K29" s="326" t="s">
        <v>6523</v>
      </c>
    </row>
    <row r="30" spans="1:11" ht="42" customHeight="1">
      <c r="A30" s="327" t="s">
        <v>6524</v>
      </c>
      <c r="B30" s="350" t="s">
        <v>6525</v>
      </c>
      <c r="C30" s="315" t="s">
        <v>1784</v>
      </c>
      <c r="D30" s="328" t="s">
        <v>851</v>
      </c>
      <c r="E30" s="329" t="s">
        <v>6526</v>
      </c>
      <c r="F30" s="329" t="s">
        <v>6527</v>
      </c>
      <c r="G30" s="329" t="s">
        <v>6528</v>
      </c>
      <c r="H30" s="298"/>
      <c r="I30" s="298"/>
      <c r="J30" s="298"/>
      <c r="K30" s="298"/>
    </row>
    <row r="31" spans="1:11" ht="42" customHeight="1">
      <c r="A31" s="327" t="s">
        <v>6524</v>
      </c>
      <c r="B31" s="350" t="s">
        <v>6529</v>
      </c>
      <c r="C31" s="323" t="s">
        <v>1788</v>
      </c>
      <c r="D31" s="328" t="s">
        <v>6530</v>
      </c>
      <c r="E31" s="329" t="s">
        <v>6531</v>
      </c>
      <c r="F31" s="329" t="s">
        <v>6532</v>
      </c>
      <c r="G31" s="329" t="s">
        <v>6533</v>
      </c>
      <c r="H31" s="298"/>
      <c r="I31" s="763" t="s">
        <v>6534</v>
      </c>
      <c r="J31" s="763"/>
      <c r="K31" s="763"/>
    </row>
    <row r="32" spans="1:11" ht="42" customHeight="1">
      <c r="A32" s="327" t="s">
        <v>6524</v>
      </c>
      <c r="B32" s="350" t="s">
        <v>6535</v>
      </c>
      <c r="C32" s="315" t="s">
        <v>1784</v>
      </c>
      <c r="D32" s="328" t="s">
        <v>871</v>
      </c>
      <c r="E32" s="329" t="s">
        <v>6536</v>
      </c>
      <c r="F32" s="329" t="s">
        <v>6537</v>
      </c>
      <c r="G32" s="329" t="s">
        <v>6538</v>
      </c>
      <c r="H32" s="298"/>
      <c r="I32" s="330" t="s">
        <v>1784</v>
      </c>
      <c r="J32" s="331" t="s">
        <v>6539</v>
      </c>
      <c r="K32" s="331" t="s">
        <v>6540</v>
      </c>
    </row>
    <row r="33" spans="1:11" ht="42" customHeight="1">
      <c r="A33" s="327" t="s">
        <v>6524</v>
      </c>
      <c r="B33" s="350" t="s">
        <v>6541</v>
      </c>
      <c r="C33" s="315" t="s">
        <v>1784</v>
      </c>
      <c r="D33" s="328" t="s">
        <v>871</v>
      </c>
      <c r="E33" s="329" t="s">
        <v>6536</v>
      </c>
      <c r="F33" s="329" t="s">
        <v>6537</v>
      </c>
      <c r="G33" s="329" t="s">
        <v>6542</v>
      </c>
      <c r="H33" s="298"/>
      <c r="I33" s="330" t="s">
        <v>1788</v>
      </c>
      <c r="J33" s="331" t="s">
        <v>6543</v>
      </c>
      <c r="K33" s="331" t="s">
        <v>6544</v>
      </c>
    </row>
    <row r="34" spans="1:11" ht="42" customHeight="1">
      <c r="A34" s="327" t="s">
        <v>6524</v>
      </c>
      <c r="B34" s="350" t="s">
        <v>6545</v>
      </c>
      <c r="C34" s="315" t="s">
        <v>1784</v>
      </c>
      <c r="D34" s="328" t="s">
        <v>6546</v>
      </c>
      <c r="E34" s="329" t="s">
        <v>6547</v>
      </c>
      <c r="F34" s="329" t="s">
        <v>6548</v>
      </c>
      <c r="G34" s="329" t="s">
        <v>6549</v>
      </c>
      <c r="H34" s="298"/>
      <c r="I34" s="330" t="s">
        <v>6415</v>
      </c>
      <c r="J34" s="332" t="s">
        <v>6550</v>
      </c>
      <c r="K34" s="331" t="s">
        <v>6551</v>
      </c>
    </row>
    <row r="35" spans="1:11" ht="42" customHeight="1">
      <c r="A35" s="333" t="s">
        <v>6552</v>
      </c>
      <c r="B35" s="351" t="s">
        <v>6553</v>
      </c>
      <c r="C35" s="323" t="s">
        <v>1788</v>
      </c>
      <c r="D35" s="334" t="s">
        <v>6554</v>
      </c>
      <c r="E35" s="335" t="s">
        <v>6555</v>
      </c>
      <c r="F35" s="335" t="s">
        <v>6556</v>
      </c>
      <c r="G35" s="335" t="s">
        <v>6557</v>
      </c>
      <c r="H35" s="298"/>
      <c r="I35" s="330" t="s">
        <v>3</v>
      </c>
      <c r="J35" s="331" t="s">
        <v>6558</v>
      </c>
      <c r="K35" s="331" t="s">
        <v>6559</v>
      </c>
    </row>
    <row r="36" spans="1:11" ht="42" customHeight="1">
      <c r="A36" s="333" t="s">
        <v>6552</v>
      </c>
      <c r="B36" s="351" t="s">
        <v>6560</v>
      </c>
      <c r="C36" s="323" t="s">
        <v>1788</v>
      </c>
      <c r="D36" s="334" t="s">
        <v>6554</v>
      </c>
      <c r="E36" s="335" t="s">
        <v>6561</v>
      </c>
      <c r="F36" s="335" t="s">
        <v>6562</v>
      </c>
      <c r="G36" s="335" t="s">
        <v>6563</v>
      </c>
      <c r="H36" s="298"/>
      <c r="I36" s="298"/>
      <c r="J36" s="298"/>
      <c r="K36" s="298"/>
    </row>
    <row r="37" spans="1:11" ht="42" customHeight="1">
      <c r="A37" s="333" t="s">
        <v>6552</v>
      </c>
      <c r="B37" s="351" t="s">
        <v>6564</v>
      </c>
      <c r="C37" s="323" t="s">
        <v>1788</v>
      </c>
      <c r="D37" s="334" t="s">
        <v>6554</v>
      </c>
      <c r="E37" s="335" t="s">
        <v>6565</v>
      </c>
      <c r="F37" s="335" t="s">
        <v>6562</v>
      </c>
      <c r="G37" s="335" t="s">
        <v>6566</v>
      </c>
      <c r="H37" s="298"/>
      <c r="I37" s="298"/>
      <c r="J37" s="298"/>
      <c r="K37" s="298"/>
    </row>
    <row r="38" spans="1:11" ht="42" customHeight="1">
      <c r="A38" s="333" t="s">
        <v>6552</v>
      </c>
      <c r="B38" s="351" t="s">
        <v>6567</v>
      </c>
      <c r="C38" s="323" t="s">
        <v>1788</v>
      </c>
      <c r="D38" s="334" t="s">
        <v>6568</v>
      </c>
      <c r="E38" s="335" t="s">
        <v>6569</v>
      </c>
      <c r="F38" s="335" t="s">
        <v>6570</v>
      </c>
      <c r="G38" s="335" t="s">
        <v>6571</v>
      </c>
      <c r="H38" s="298"/>
      <c r="I38" s="298"/>
      <c r="J38" s="298"/>
      <c r="K38" s="298"/>
    </row>
    <row r="39" spans="1:11" ht="42" customHeight="1">
      <c r="A39" s="333" t="s">
        <v>6552</v>
      </c>
      <c r="B39" s="351" t="s">
        <v>6572</v>
      </c>
      <c r="C39" s="323" t="s">
        <v>1788</v>
      </c>
      <c r="D39" s="334" t="s">
        <v>6554</v>
      </c>
      <c r="E39" s="335" t="s">
        <v>6573</v>
      </c>
      <c r="F39" s="335" t="s">
        <v>6574</v>
      </c>
      <c r="G39" s="335" t="s">
        <v>6575</v>
      </c>
      <c r="H39" s="298"/>
      <c r="I39" s="298"/>
      <c r="J39" s="298"/>
      <c r="K39" s="298"/>
    </row>
    <row r="40" spans="1:11" ht="42" customHeight="1">
      <c r="A40" s="333" t="s">
        <v>6552</v>
      </c>
      <c r="B40" s="351" t="s">
        <v>6576</v>
      </c>
      <c r="C40" s="323" t="s">
        <v>1788</v>
      </c>
      <c r="D40" s="334" t="s">
        <v>6554</v>
      </c>
      <c r="E40" s="335" t="s">
        <v>6577</v>
      </c>
      <c r="F40" s="335" t="s">
        <v>6574</v>
      </c>
      <c r="G40" s="335" t="s">
        <v>6578</v>
      </c>
      <c r="H40" s="298"/>
      <c r="I40" s="298"/>
      <c r="J40" s="298"/>
      <c r="K40" s="298"/>
    </row>
    <row r="41" spans="1:11" ht="42" customHeight="1">
      <c r="A41" s="336" t="s">
        <v>6579</v>
      </c>
      <c r="B41" s="352" t="s">
        <v>733</v>
      </c>
      <c r="C41" s="323" t="s">
        <v>1788</v>
      </c>
      <c r="D41" s="337" t="s">
        <v>6580</v>
      </c>
      <c r="E41" s="338" t="s">
        <v>6581</v>
      </c>
      <c r="F41" s="338" t="s">
        <v>6582</v>
      </c>
      <c r="G41" s="338" t="s">
        <v>6583</v>
      </c>
      <c r="H41" s="298"/>
      <c r="I41" s="298"/>
      <c r="J41" s="298"/>
      <c r="K41" s="298"/>
    </row>
    <row r="42" spans="1:11" ht="42" customHeight="1">
      <c r="A42" s="336" t="s">
        <v>6579</v>
      </c>
      <c r="B42" s="352" t="s">
        <v>6584</v>
      </c>
      <c r="C42" s="323" t="s">
        <v>1788</v>
      </c>
      <c r="D42" s="337" t="s">
        <v>6585</v>
      </c>
      <c r="E42" s="338" t="s">
        <v>6586</v>
      </c>
      <c r="F42" s="338" t="s">
        <v>6587</v>
      </c>
      <c r="G42" s="338" t="s">
        <v>6588</v>
      </c>
      <c r="H42" s="298"/>
      <c r="I42" s="298"/>
      <c r="J42" s="298"/>
      <c r="K42" s="298"/>
    </row>
    <row r="43" spans="1:11" ht="42" customHeight="1">
      <c r="A43" s="336" t="s">
        <v>6579</v>
      </c>
      <c r="B43" s="352" t="s">
        <v>6589</v>
      </c>
      <c r="C43" s="323" t="s">
        <v>1788</v>
      </c>
      <c r="D43" s="337" t="s">
        <v>6590</v>
      </c>
      <c r="E43" s="338" t="s">
        <v>6591</v>
      </c>
      <c r="F43" s="338" t="s">
        <v>6574</v>
      </c>
      <c r="G43" s="338" t="s">
        <v>6592</v>
      </c>
      <c r="H43" s="298"/>
      <c r="I43" s="298"/>
      <c r="J43" s="298"/>
      <c r="K43" s="298"/>
    </row>
    <row r="44" spans="1:11" ht="42" customHeight="1">
      <c r="A44" s="336" t="s">
        <v>6579</v>
      </c>
      <c r="B44" s="352" t="s">
        <v>6593</v>
      </c>
      <c r="C44" s="323" t="s">
        <v>1788</v>
      </c>
      <c r="D44" s="337" t="s">
        <v>6580</v>
      </c>
      <c r="E44" s="338" t="s">
        <v>6594</v>
      </c>
      <c r="F44" s="338" t="s">
        <v>6595</v>
      </c>
      <c r="G44" s="338" t="s">
        <v>6596</v>
      </c>
      <c r="H44" s="298"/>
      <c r="I44" s="298"/>
      <c r="J44" s="298"/>
      <c r="K44" s="298"/>
    </row>
    <row r="45" spans="1:11" ht="42" customHeight="1">
      <c r="A45" s="336" t="s">
        <v>6579</v>
      </c>
      <c r="B45" s="352" t="s">
        <v>6597</v>
      </c>
      <c r="C45" s="323" t="s">
        <v>1788</v>
      </c>
      <c r="D45" s="337" t="s">
        <v>6598</v>
      </c>
      <c r="E45" s="338" t="s">
        <v>6599</v>
      </c>
      <c r="F45" s="338" t="s">
        <v>6600</v>
      </c>
      <c r="G45" s="338" t="s">
        <v>6601</v>
      </c>
      <c r="H45" s="298"/>
      <c r="I45" s="298"/>
      <c r="J45" s="298"/>
      <c r="K45" s="298"/>
    </row>
    <row r="46" spans="1:11" ht="42" customHeight="1">
      <c r="A46" s="336" t="s">
        <v>6579</v>
      </c>
      <c r="B46" s="352" t="s">
        <v>6602</v>
      </c>
      <c r="C46" s="323" t="s">
        <v>1788</v>
      </c>
      <c r="D46" s="337" t="s">
        <v>6598</v>
      </c>
      <c r="E46" s="338" t="s">
        <v>6603</v>
      </c>
      <c r="F46" s="338" t="s">
        <v>6604</v>
      </c>
      <c r="G46" s="338" t="s">
        <v>6605</v>
      </c>
      <c r="H46" s="298"/>
      <c r="I46" s="298"/>
      <c r="J46" s="298"/>
      <c r="K46" s="298"/>
    </row>
    <row r="47" spans="1:11" ht="42" customHeight="1">
      <c r="A47" s="339" t="s">
        <v>6606</v>
      </c>
      <c r="B47" s="353" t="s">
        <v>6607</v>
      </c>
      <c r="C47" s="323" t="s">
        <v>1788</v>
      </c>
      <c r="D47" s="340" t="s">
        <v>6608</v>
      </c>
      <c r="E47" s="341" t="s">
        <v>6609</v>
      </c>
      <c r="F47" s="341" t="s">
        <v>6574</v>
      </c>
      <c r="G47" s="341" t="s">
        <v>6610</v>
      </c>
      <c r="H47" s="298"/>
      <c r="I47" s="298"/>
      <c r="J47" s="298"/>
      <c r="K47" s="298"/>
    </row>
    <row r="48" spans="1:11" ht="42" customHeight="1">
      <c r="A48" s="339" t="s">
        <v>6606</v>
      </c>
      <c r="B48" s="353" t="s">
        <v>6611</v>
      </c>
      <c r="C48" s="323" t="s">
        <v>1788</v>
      </c>
      <c r="D48" s="340" t="s">
        <v>6612</v>
      </c>
      <c r="E48" s="341" t="s">
        <v>6613</v>
      </c>
      <c r="F48" s="341" t="s">
        <v>6614</v>
      </c>
      <c r="G48" s="341" t="s">
        <v>6615</v>
      </c>
      <c r="H48" s="298"/>
      <c r="I48" s="298"/>
      <c r="J48" s="298"/>
      <c r="K48" s="298"/>
    </row>
    <row r="49" spans="1:11" ht="42" customHeight="1">
      <c r="A49" s="339" t="s">
        <v>6606</v>
      </c>
      <c r="B49" s="353" t="s">
        <v>6616</v>
      </c>
      <c r="C49" s="323" t="s">
        <v>1788</v>
      </c>
      <c r="D49" s="340" t="s">
        <v>6617</v>
      </c>
      <c r="E49" s="341" t="s">
        <v>6618</v>
      </c>
      <c r="F49" s="341" t="s">
        <v>6582</v>
      </c>
      <c r="G49" s="341" t="s">
        <v>6619</v>
      </c>
      <c r="H49" s="298"/>
      <c r="I49" s="298"/>
      <c r="J49" s="298"/>
      <c r="K49" s="298"/>
    </row>
    <row r="50" spans="1:11" ht="42" customHeight="1">
      <c r="A50" s="339" t="s">
        <v>6606</v>
      </c>
      <c r="B50" s="353" t="s">
        <v>6620</v>
      </c>
      <c r="C50" s="323" t="s">
        <v>1788</v>
      </c>
      <c r="D50" s="340" t="s">
        <v>6621</v>
      </c>
      <c r="E50" s="341" t="s">
        <v>6622</v>
      </c>
      <c r="F50" s="341" t="s">
        <v>6623</v>
      </c>
      <c r="G50" s="341" t="s">
        <v>6624</v>
      </c>
      <c r="H50" s="298"/>
      <c r="I50" s="298"/>
      <c r="J50" s="298"/>
      <c r="K50" s="298"/>
    </row>
    <row r="51" spans="1:11" ht="42" customHeight="1">
      <c r="A51" s="339" t="s">
        <v>6606</v>
      </c>
      <c r="B51" s="353" t="s">
        <v>6625</v>
      </c>
      <c r="C51" s="323" t="s">
        <v>1788</v>
      </c>
      <c r="D51" s="340" t="s">
        <v>6626</v>
      </c>
      <c r="E51" s="341" t="s">
        <v>6627</v>
      </c>
      <c r="F51" s="341" t="s">
        <v>6574</v>
      </c>
      <c r="G51" s="341" t="s">
        <v>6628</v>
      </c>
      <c r="H51" s="298"/>
      <c r="I51" s="298"/>
      <c r="J51" s="298"/>
      <c r="K51" s="298"/>
    </row>
    <row r="52" spans="1:11" ht="42" customHeight="1">
      <c r="A52" s="342" t="s">
        <v>6629</v>
      </c>
      <c r="B52" s="354" t="s">
        <v>6630</v>
      </c>
      <c r="C52" s="315" t="s">
        <v>1784</v>
      </c>
      <c r="D52" s="324" t="s">
        <v>6631</v>
      </c>
      <c r="E52" s="343" t="s">
        <v>6632</v>
      </c>
      <c r="F52" s="343" t="s">
        <v>6633</v>
      </c>
      <c r="G52" s="343" t="s">
        <v>6634</v>
      </c>
      <c r="H52" s="298"/>
      <c r="I52" s="298"/>
      <c r="J52" s="298"/>
      <c r="K52" s="298"/>
    </row>
    <row r="53" spans="1:11" ht="42" customHeight="1">
      <c r="A53" s="342" t="s">
        <v>6629</v>
      </c>
      <c r="B53" s="354" t="s">
        <v>6635</v>
      </c>
      <c r="C53" s="323" t="s">
        <v>1788</v>
      </c>
      <c r="D53" s="324" t="s">
        <v>6636</v>
      </c>
      <c r="E53" s="343" t="s">
        <v>6637</v>
      </c>
      <c r="F53" s="343" t="s">
        <v>6574</v>
      </c>
      <c r="G53" s="343" t="s">
        <v>6638</v>
      </c>
      <c r="H53" s="298"/>
      <c r="I53" s="298"/>
      <c r="J53" s="298"/>
      <c r="K53" s="298"/>
    </row>
    <row r="54" spans="1:11" ht="42" customHeight="1">
      <c r="A54" s="342" t="s">
        <v>6629</v>
      </c>
      <c r="B54" s="354" t="s">
        <v>6639</v>
      </c>
      <c r="C54" s="323" t="s">
        <v>1788</v>
      </c>
      <c r="D54" s="324" t="s">
        <v>6585</v>
      </c>
      <c r="E54" s="343" t="s">
        <v>6640</v>
      </c>
      <c r="F54" s="343" t="s">
        <v>6574</v>
      </c>
      <c r="G54" s="343" t="s">
        <v>6641</v>
      </c>
      <c r="H54" s="298"/>
      <c r="I54" s="298"/>
      <c r="J54" s="298"/>
      <c r="K54" s="298"/>
    </row>
    <row r="55" spans="1:11" ht="42" customHeight="1">
      <c r="A55" s="342" t="s">
        <v>6629</v>
      </c>
      <c r="B55" s="354" t="s">
        <v>6642</v>
      </c>
      <c r="C55" s="323" t="s">
        <v>1788</v>
      </c>
      <c r="D55" s="324" t="s">
        <v>6643</v>
      </c>
      <c r="E55" s="343" t="s">
        <v>6644</v>
      </c>
      <c r="F55" s="343" t="s">
        <v>6645</v>
      </c>
      <c r="G55" s="343" t="s">
        <v>6646</v>
      </c>
      <c r="H55" s="298"/>
      <c r="I55" s="298"/>
      <c r="J55" s="298"/>
      <c r="K55" s="298"/>
    </row>
    <row r="56" spans="1:11" ht="42" customHeight="1">
      <c r="A56" s="342" t="s">
        <v>6629</v>
      </c>
      <c r="B56" s="354" t="s">
        <v>6647</v>
      </c>
      <c r="C56" s="315" t="s">
        <v>1784</v>
      </c>
      <c r="D56" s="324" t="s">
        <v>6648</v>
      </c>
      <c r="E56" s="343" t="s">
        <v>6649</v>
      </c>
      <c r="F56" s="343" t="s">
        <v>6650</v>
      </c>
      <c r="G56" s="343" t="s">
        <v>6651</v>
      </c>
      <c r="H56" s="298"/>
      <c r="I56" s="298"/>
      <c r="J56" s="298"/>
      <c r="K56" s="298"/>
    </row>
    <row r="57" spans="1:11" ht="42" customHeight="1">
      <c r="A57" s="342" t="s">
        <v>6629</v>
      </c>
      <c r="B57" s="354" t="s">
        <v>6652</v>
      </c>
      <c r="C57" s="323" t="s">
        <v>1788</v>
      </c>
      <c r="D57" s="324" t="s">
        <v>6598</v>
      </c>
      <c r="E57" s="343" t="s">
        <v>6653</v>
      </c>
      <c r="F57" s="343" t="s">
        <v>6574</v>
      </c>
      <c r="G57" s="343" t="s">
        <v>6654</v>
      </c>
      <c r="H57" s="298"/>
      <c r="I57" s="298"/>
      <c r="J57" s="298"/>
      <c r="K57" s="298"/>
    </row>
    <row r="58" spans="1:11" ht="42" customHeight="1">
      <c r="A58" s="344" t="s">
        <v>6655</v>
      </c>
      <c r="B58" s="345" t="s">
        <v>6656</v>
      </c>
      <c r="C58" s="346" t="s">
        <v>6415</v>
      </c>
      <c r="D58" s="345" t="s">
        <v>6657</v>
      </c>
      <c r="E58" s="347" t="s">
        <v>6658</v>
      </c>
      <c r="F58" s="347" t="s">
        <v>6659</v>
      </c>
      <c r="G58" s="347" t="s">
        <v>6660</v>
      </c>
      <c r="H58" s="298"/>
      <c r="I58" s="298"/>
      <c r="J58" s="298"/>
      <c r="K58" s="298"/>
    </row>
    <row r="59" spans="1:11" ht="42" customHeight="1">
      <c r="A59" s="344" t="s">
        <v>6655</v>
      </c>
      <c r="B59" s="345" t="s">
        <v>6661</v>
      </c>
      <c r="C59" s="323" t="s">
        <v>1788</v>
      </c>
      <c r="D59" s="345" t="s">
        <v>6662</v>
      </c>
      <c r="E59" s="347" t="s">
        <v>6663</v>
      </c>
      <c r="F59" s="347" t="s">
        <v>6582</v>
      </c>
      <c r="G59" s="347" t="s">
        <v>6664</v>
      </c>
      <c r="H59" s="298"/>
      <c r="I59" s="298"/>
      <c r="J59" s="298"/>
      <c r="K59" s="298"/>
    </row>
    <row r="60" spans="1:11" ht="15.75">
      <c r="A60" s="298"/>
      <c r="B60" s="298"/>
      <c r="C60" s="298"/>
      <c r="D60" s="298"/>
      <c r="E60" s="298"/>
      <c r="F60" s="298"/>
      <c r="G60" s="298"/>
      <c r="H60" s="298"/>
      <c r="I60" s="298"/>
      <c r="J60" s="298"/>
      <c r="K60" s="298"/>
    </row>
  </sheetData>
  <mergeCells count="6">
    <mergeCell ref="I31:K31"/>
    <mergeCell ref="A1:G1"/>
    <mergeCell ref="A2:G2"/>
    <mergeCell ref="I4:K4"/>
    <mergeCell ref="I21:K21"/>
    <mergeCell ref="I27:K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8A374-F358-4909-AB74-960A06774F0B}">
  <dimension ref="A1:CX2459"/>
  <sheetViews>
    <sheetView showGridLines="0" workbookViewId="0">
      <selection activeCell="B4" sqref="B4"/>
    </sheetView>
  </sheetViews>
  <sheetFormatPr baseColWidth="10" defaultColWidth="10.28515625" defaultRowHeight="15.75"/>
  <cols>
    <col min="1" max="1" width="7.7109375" style="209" customWidth="1"/>
    <col min="2" max="2" width="57.42578125" style="289" customWidth="1"/>
    <col min="3" max="3" width="57.42578125" style="209" customWidth="1"/>
    <col min="4" max="4" width="44.42578125" style="209" customWidth="1"/>
    <col min="5" max="5" width="23" style="209" customWidth="1"/>
    <col min="6" max="18" width="13.85546875" style="209" customWidth="1"/>
    <col min="19" max="19" width="39.140625" style="209" customWidth="1"/>
    <col min="20" max="20" width="2.5703125" style="209" customWidth="1"/>
    <col min="21" max="25" width="23.5703125" style="209" customWidth="1"/>
    <col min="26" max="26" width="21.28515625" style="209" customWidth="1"/>
    <col min="27" max="27" width="23.5703125" style="209" customWidth="1"/>
    <col min="28" max="28" width="11.7109375" style="209" customWidth="1"/>
    <col min="29" max="29" width="20.42578125" style="209" customWidth="1"/>
    <col min="30" max="30" width="22.7109375" style="209" customWidth="1"/>
    <col min="31" max="32" width="6.5703125" style="209" customWidth="1"/>
    <col min="33" max="33" width="22.7109375" style="209" customWidth="1"/>
    <col min="34" max="34" width="14.5703125" style="209" customWidth="1"/>
    <col min="35" max="36" width="6.5703125" style="209" customWidth="1"/>
    <col min="37" max="37" width="17.7109375" style="209" customWidth="1"/>
    <col min="38" max="90" width="6.5703125" style="209" customWidth="1"/>
    <col min="91" max="91" width="2.28515625" style="290" customWidth="1"/>
    <col min="92" max="92" width="14.42578125" style="209" customWidth="1"/>
    <col min="93" max="93" width="41.85546875" style="209" customWidth="1"/>
    <col min="94" max="94" width="17" style="209" customWidth="1"/>
    <col min="95" max="96" width="41.85546875" style="209" customWidth="1"/>
    <col min="97" max="97" width="46.7109375" style="209" customWidth="1"/>
    <col min="98" max="98" width="79.28515625" style="209" customWidth="1"/>
    <col min="99" max="99" width="112" style="209" customWidth="1"/>
    <col min="100" max="100" width="13" style="209" customWidth="1"/>
    <col min="101" max="101" width="10.28515625" style="209"/>
    <col min="102" max="102" width="10.28515625" style="295"/>
    <col min="103" max="16384" width="10.28515625" style="209"/>
  </cols>
  <sheetData>
    <row r="1" spans="1:102" ht="27.95" customHeight="1">
      <c r="A1" s="767" t="s">
        <v>850</v>
      </c>
      <c r="B1" s="767"/>
      <c r="C1" s="767"/>
      <c r="D1" s="767"/>
      <c r="E1" s="767"/>
      <c r="F1" s="767"/>
      <c r="G1" s="767"/>
      <c r="H1" s="767"/>
      <c r="I1" s="767"/>
      <c r="J1" s="767"/>
      <c r="K1" s="767"/>
      <c r="L1" s="767"/>
      <c r="M1" s="767"/>
      <c r="N1" s="767"/>
      <c r="O1" s="767"/>
      <c r="P1" s="767"/>
      <c r="Q1" s="767"/>
      <c r="R1" s="767"/>
      <c r="S1" s="767"/>
      <c r="U1" s="679" t="s">
        <v>851</v>
      </c>
      <c r="V1" s="680" t="s">
        <v>852</v>
      </c>
      <c r="X1" s="681" t="s">
        <v>853</v>
      </c>
      <c r="Y1" s="682" t="s">
        <v>854</v>
      </c>
      <c r="AA1" s="683" t="s">
        <v>855</v>
      </c>
      <c r="AB1" s="684" t="s">
        <v>856</v>
      </c>
      <c r="AD1" s="685" t="s">
        <v>857</v>
      </c>
      <c r="AE1" s="686" t="s">
        <v>858</v>
      </c>
      <c r="CM1" s="210"/>
      <c r="CN1" s="211" t="s">
        <v>859</v>
      </c>
      <c r="CO1" s="211" t="s">
        <v>860</v>
      </c>
      <c r="CP1" s="211" t="s">
        <v>861</v>
      </c>
      <c r="CQ1" s="211" t="s">
        <v>862</v>
      </c>
      <c r="CR1" s="211" t="s">
        <v>863</v>
      </c>
      <c r="CS1" s="211" t="s">
        <v>864</v>
      </c>
      <c r="CT1" s="211" t="s">
        <v>865</v>
      </c>
      <c r="CU1" s="211" t="s">
        <v>866</v>
      </c>
      <c r="CV1" s="211" t="s">
        <v>867</v>
      </c>
      <c r="CW1" s="211"/>
      <c r="CX1" s="212">
        <v>1</v>
      </c>
    </row>
    <row r="2" spans="1:102" ht="23.1" customHeight="1">
      <c r="A2" s="768" t="s">
        <v>868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  <c r="P2" s="768"/>
      <c r="Q2" s="768"/>
      <c r="R2" s="768"/>
      <c r="S2" s="768"/>
      <c r="U2" s="687" t="s">
        <v>869</v>
      </c>
      <c r="V2" s="688" t="s">
        <v>870</v>
      </c>
      <c r="X2" s="689" t="s">
        <v>871</v>
      </c>
      <c r="Y2" s="690" t="s">
        <v>872</v>
      </c>
      <c r="AA2" s="691" t="s">
        <v>873</v>
      </c>
      <c r="AB2" s="692" t="s">
        <v>874</v>
      </c>
      <c r="AD2" s="693" t="s">
        <v>875</v>
      </c>
      <c r="AE2" s="694" t="s">
        <v>876</v>
      </c>
      <c r="AG2" s="695" t="s">
        <v>548</v>
      </c>
      <c r="CM2" s="210"/>
      <c r="CN2" s="213" t="s">
        <v>877</v>
      </c>
      <c r="CO2" s="213" t="s">
        <v>878</v>
      </c>
      <c r="CP2" s="213" t="s">
        <v>879</v>
      </c>
      <c r="CQ2" s="213" t="s">
        <v>880</v>
      </c>
      <c r="CR2" s="213" t="s">
        <v>880</v>
      </c>
      <c r="CS2" s="213" t="s">
        <v>881</v>
      </c>
      <c r="CT2" s="213" t="s">
        <v>882</v>
      </c>
      <c r="CU2" s="213" t="s">
        <v>883</v>
      </c>
      <c r="CV2" s="214" t="s">
        <v>884</v>
      </c>
      <c r="CX2" s="212">
        <v>1</v>
      </c>
    </row>
    <row r="3" spans="1:102" ht="23.1" customHeight="1">
      <c r="A3" s="769" t="s">
        <v>885</v>
      </c>
      <c r="B3" s="769"/>
      <c r="C3" s="769"/>
      <c r="D3" s="769"/>
      <c r="E3" s="769"/>
      <c r="F3" s="769"/>
      <c r="G3" s="769"/>
      <c r="H3" s="769"/>
      <c r="I3" s="769"/>
      <c r="J3" s="769"/>
      <c r="K3" s="769"/>
      <c r="L3" s="769"/>
      <c r="M3" s="769"/>
      <c r="N3" s="769"/>
      <c r="O3" s="769"/>
      <c r="P3" s="769"/>
      <c r="Q3" s="769"/>
      <c r="R3" s="769"/>
      <c r="S3" s="769"/>
      <c r="U3" s="696" t="s">
        <v>886</v>
      </c>
      <c r="V3" s="697" t="s">
        <v>887</v>
      </c>
      <c r="X3" s="698" t="s">
        <v>888</v>
      </c>
      <c r="Y3" s="699" t="s">
        <v>889</v>
      </c>
      <c r="AA3" s="700" t="s">
        <v>890</v>
      </c>
      <c r="AB3" s="701" t="s">
        <v>891</v>
      </c>
      <c r="CM3" s="210"/>
      <c r="CN3" s="213" t="s">
        <v>892</v>
      </c>
      <c r="CO3" s="213" t="s">
        <v>878</v>
      </c>
      <c r="CP3" s="213" t="s">
        <v>879</v>
      </c>
      <c r="CQ3" s="213" t="s">
        <v>893</v>
      </c>
      <c r="CR3" s="213" t="s">
        <v>894</v>
      </c>
      <c r="CS3" s="213" t="s">
        <v>881</v>
      </c>
      <c r="CT3" s="213" t="s">
        <v>882</v>
      </c>
      <c r="CU3" s="213" t="s">
        <v>883</v>
      </c>
      <c r="CV3" s="214" t="s">
        <v>884</v>
      </c>
      <c r="CX3" s="212">
        <v>1</v>
      </c>
    </row>
    <row r="4" spans="1:102" ht="20.100000000000001" customHeight="1">
      <c r="A4" s="215"/>
      <c r="B4" s="216" t="s">
        <v>7266</v>
      </c>
      <c r="C4" s="217"/>
      <c r="D4" s="217"/>
      <c r="E4" s="218"/>
      <c r="F4" s="219" t="s">
        <v>878</v>
      </c>
      <c r="G4" s="218"/>
      <c r="H4" s="220"/>
      <c r="I4" s="220"/>
      <c r="J4" s="220"/>
      <c r="K4" s="220"/>
      <c r="L4" s="220"/>
      <c r="M4" s="220"/>
      <c r="N4" s="220"/>
      <c r="O4" s="220"/>
      <c r="P4" s="220"/>
      <c r="Q4" s="221" t="s">
        <v>895</v>
      </c>
      <c r="R4" s="222" t="str">
        <f>$CX$2459</f>
        <v>CX2459</v>
      </c>
      <c r="S4" s="220"/>
      <c r="U4" s="702" t="s">
        <v>896</v>
      </c>
      <c r="V4" s="703" t="s">
        <v>897</v>
      </c>
      <c r="X4" s="704" t="s">
        <v>898</v>
      </c>
      <c r="Y4" s="705" t="s">
        <v>899</v>
      </c>
      <c r="AA4" s="706" t="s">
        <v>900</v>
      </c>
      <c r="AB4" s="707" t="s">
        <v>901</v>
      </c>
      <c r="CM4" s="210"/>
      <c r="CN4" s="213" t="s">
        <v>902</v>
      </c>
      <c r="CO4" s="213" t="s">
        <v>878</v>
      </c>
      <c r="CP4" s="213" t="s">
        <v>879</v>
      </c>
      <c r="CQ4" s="213" t="s">
        <v>903</v>
      </c>
      <c r="CR4" s="213" t="s">
        <v>903</v>
      </c>
      <c r="CS4" s="213" t="s">
        <v>881</v>
      </c>
      <c r="CT4" s="213" t="s">
        <v>882</v>
      </c>
      <c r="CU4" s="213" t="s">
        <v>883</v>
      </c>
      <c r="CV4" s="214" t="s">
        <v>884</v>
      </c>
      <c r="CX4" s="212">
        <v>1</v>
      </c>
    </row>
    <row r="5" spans="1:102" ht="18.75">
      <c r="A5" s="215"/>
      <c r="B5" s="770" t="s">
        <v>904</v>
      </c>
      <c r="C5" s="770"/>
      <c r="D5" s="770"/>
      <c r="E5" s="223" t="s">
        <v>7243</v>
      </c>
      <c r="F5" s="215"/>
      <c r="G5" s="215"/>
      <c r="H5" s="215"/>
      <c r="J5" s="215"/>
      <c r="L5" s="224" t="s">
        <v>905</v>
      </c>
      <c r="M5" s="215"/>
      <c r="N5" s="215"/>
      <c r="O5" s="215"/>
      <c r="P5" s="215"/>
      <c r="Q5" s="215"/>
      <c r="R5" s="215"/>
      <c r="S5" s="215"/>
      <c r="CM5" s="210"/>
      <c r="CN5" s="213" t="s">
        <v>906</v>
      </c>
      <c r="CO5" s="213" t="s">
        <v>878</v>
      </c>
      <c r="CP5" s="213" t="s">
        <v>879</v>
      </c>
      <c r="CQ5" s="213" t="s">
        <v>907</v>
      </c>
      <c r="CR5" s="213" t="s">
        <v>907</v>
      </c>
      <c r="CS5" s="213" t="s">
        <v>881</v>
      </c>
      <c r="CT5" s="213" t="s">
        <v>882</v>
      </c>
      <c r="CU5" s="213" t="s">
        <v>883</v>
      </c>
      <c r="CV5" s="214" t="s">
        <v>884</v>
      </c>
      <c r="CX5" s="212">
        <v>1</v>
      </c>
    </row>
    <row r="6" spans="1:102" ht="51.95" customHeight="1">
      <c r="A6" s="225" t="s">
        <v>908</v>
      </c>
      <c r="B6" s="226" t="s">
        <v>909</v>
      </c>
      <c r="C6" s="227" t="s">
        <v>910</v>
      </c>
      <c r="D6" s="227" t="s">
        <v>911</v>
      </c>
      <c r="E6" s="225" t="str">
        <f>"Céréales contenant du gluten "&amp;(COUNTIF(E7:E66,"X")+COUNTIF(E7:E66,"~?"))</f>
        <v>Céréales contenant du gluten 6</v>
      </c>
      <c r="F6" s="225" t="str">
        <f>"Crustacés "&amp;" "&amp;(COUNTIF(F7:F66,"X")+COUNTIF(F7:F66,"~?"))</f>
        <v>Crustacés  0</v>
      </c>
      <c r="G6" s="225" t="str">
        <f>"Œufs "&amp;(COUNTIF(G7:G66,"X")+COUNTIF(G7:G66,"~?"))</f>
        <v>Œufs 13</v>
      </c>
      <c r="H6" s="225" t="str">
        <f>"Poissons "&amp;(COUNTIF(H7:H66,"X")+COUNTIF(H7:H66,"~?"))</f>
        <v>Poissons 2</v>
      </c>
      <c r="I6" s="225" t="str">
        <f>"Arachides "&amp;" "&amp;(COUNTIF(I7:I66,"X")+COUNTIF(I7:I66,"~?"))</f>
        <v>Arachides  1</v>
      </c>
      <c r="J6" s="225" t="str">
        <f>"Soja "&amp;" "&amp;(COUNTIF(J7:J66,"X")+COUNTIF(J7:J66,"~?"))</f>
        <v>Soja  5</v>
      </c>
      <c r="K6" s="225" t="str">
        <f>"Lait "&amp;" "&amp;(COUNTIF(K7:K66,"X")+COUNTIF(K7:K66,"~?"))</f>
        <v>Lait  22</v>
      </c>
      <c r="L6" s="225" t="str">
        <f>"Fruits à coque "&amp;" "&amp;(COUNTIF(L7:L66,"X")+COUNTIF(L7:L66,"~?"))</f>
        <v>Fruits à coque  9</v>
      </c>
      <c r="M6" s="225" t="str">
        <f>"Céleri "&amp;(COUNTIF(M7:M66,"X")+COUNTIF(M7:M66,"~?"))</f>
        <v>Céleri 1</v>
      </c>
      <c r="N6" s="225" t="str">
        <f>"Moutarde "&amp;(COUNTIF(N7:N66,"X")+COUNTIF(N7:N66,"~?"))</f>
        <v>Moutarde 1</v>
      </c>
      <c r="O6" s="225" t="str">
        <f>"Sésame "&amp;(COUNTIF(O7:O66,"X")+COUNTIF(O7:O66,"~?"))</f>
        <v>Sésame 1</v>
      </c>
      <c r="P6" s="225" t="str">
        <f>"Sulfites "&amp;(COUNTIF(P7:P66,"X")+COUNTIF(P7:P66,"~?"))</f>
        <v>Sulfites 8</v>
      </c>
      <c r="Q6" s="225" t="str">
        <f>"Lupin "&amp;(COUNTIF(Q7:Q66,"X")+COUNTIF(Q7:Q66,"~?"))</f>
        <v>Lupin 0</v>
      </c>
      <c r="R6" s="225" t="str">
        <f>"Mollusques "&amp;(COUNTIF(R7:R66,"X")+COUNTIF(R7:R66,"~?"))</f>
        <v>Mollusques 0</v>
      </c>
      <c r="S6" s="225" t="s">
        <v>912</v>
      </c>
      <c r="U6" s="228" t="s">
        <v>913</v>
      </c>
      <c r="V6" s="228" t="s">
        <v>914</v>
      </c>
      <c r="W6" s="228" t="s">
        <v>915</v>
      </c>
      <c r="X6" s="228" t="s">
        <v>916</v>
      </c>
      <c r="Y6" s="228" t="s">
        <v>917</v>
      </c>
      <c r="Z6" s="228" t="s">
        <v>918</v>
      </c>
      <c r="AA6" s="228" t="s">
        <v>919</v>
      </c>
      <c r="AB6" s="228" t="s">
        <v>920</v>
      </c>
      <c r="AC6" s="228" t="s">
        <v>921</v>
      </c>
      <c r="AD6" s="228" t="s">
        <v>922</v>
      </c>
      <c r="AE6" s="228" t="s">
        <v>923</v>
      </c>
      <c r="AF6" s="228" t="s">
        <v>878</v>
      </c>
      <c r="AG6" s="228" t="s">
        <v>924</v>
      </c>
      <c r="AH6" s="228" t="s">
        <v>925</v>
      </c>
      <c r="AI6" s="228" t="s">
        <v>869</v>
      </c>
      <c r="AJ6" s="228" t="s">
        <v>926</v>
      </c>
      <c r="AK6" s="228" t="s">
        <v>927</v>
      </c>
      <c r="AL6" s="228" t="s">
        <v>928</v>
      </c>
      <c r="AM6" s="228" t="s">
        <v>886</v>
      </c>
      <c r="AN6" s="228" t="s">
        <v>929</v>
      </c>
      <c r="AO6" s="228" t="s">
        <v>930</v>
      </c>
      <c r="AP6" s="228" t="s">
        <v>931</v>
      </c>
      <c r="AQ6" s="228" t="s">
        <v>932</v>
      </c>
      <c r="AR6" s="228" t="s">
        <v>933</v>
      </c>
      <c r="AS6" s="228" t="s">
        <v>934</v>
      </c>
      <c r="AT6" s="228" t="s">
        <v>935</v>
      </c>
      <c r="AU6" s="228" t="s">
        <v>936</v>
      </c>
      <c r="AV6" s="228" t="s">
        <v>937</v>
      </c>
      <c r="AW6" s="228" t="s">
        <v>938</v>
      </c>
      <c r="AX6" s="228" t="s">
        <v>939</v>
      </c>
      <c r="AY6" s="228" t="s">
        <v>940</v>
      </c>
      <c r="AZ6" s="228" t="s">
        <v>896</v>
      </c>
      <c r="BA6" s="228" t="s">
        <v>941</v>
      </c>
      <c r="BB6" s="228" t="s">
        <v>853</v>
      </c>
      <c r="BC6" s="228" t="s">
        <v>942</v>
      </c>
      <c r="BD6" s="228" t="s">
        <v>943</v>
      </c>
      <c r="BE6" s="228" t="s">
        <v>944</v>
      </c>
      <c r="BF6" s="228" t="s">
        <v>871</v>
      </c>
      <c r="BG6" s="228" t="s">
        <v>945</v>
      </c>
      <c r="BH6" s="228" t="s">
        <v>946</v>
      </c>
      <c r="BI6" s="228" t="s">
        <v>947</v>
      </c>
      <c r="BJ6" s="228" t="s">
        <v>948</v>
      </c>
      <c r="BK6" s="228" t="s">
        <v>949</v>
      </c>
      <c r="BL6" s="228" t="s">
        <v>950</v>
      </c>
      <c r="BM6" s="228" t="s">
        <v>888</v>
      </c>
      <c r="BN6" s="228" t="s">
        <v>951</v>
      </c>
      <c r="BO6" s="228" t="s">
        <v>952</v>
      </c>
      <c r="BP6" s="228" t="s">
        <v>953</v>
      </c>
      <c r="BQ6" s="228" t="s">
        <v>898</v>
      </c>
      <c r="BR6" s="228" t="s">
        <v>954</v>
      </c>
      <c r="BS6" s="228" t="s">
        <v>955</v>
      </c>
      <c r="BT6" s="228" t="s">
        <v>855</v>
      </c>
      <c r="BU6" s="228" t="s">
        <v>956</v>
      </c>
      <c r="BV6" s="228" t="s">
        <v>957</v>
      </c>
      <c r="BW6" s="228" t="s">
        <v>873</v>
      </c>
      <c r="BX6" s="228" t="s">
        <v>958</v>
      </c>
      <c r="BY6" s="228" t="s">
        <v>959</v>
      </c>
      <c r="BZ6" s="228" t="s">
        <v>890</v>
      </c>
      <c r="CA6" s="228" t="s">
        <v>960</v>
      </c>
      <c r="CB6" s="228" t="s">
        <v>961</v>
      </c>
      <c r="CC6" s="228" t="s">
        <v>900</v>
      </c>
      <c r="CD6" s="228" t="s">
        <v>962</v>
      </c>
      <c r="CE6" s="228" t="s">
        <v>963</v>
      </c>
      <c r="CF6" s="228" t="s">
        <v>857</v>
      </c>
      <c r="CG6" s="228" t="s">
        <v>964</v>
      </c>
      <c r="CH6" s="228" t="s">
        <v>965</v>
      </c>
      <c r="CI6" s="228" t="s">
        <v>966</v>
      </c>
      <c r="CJ6" s="228" t="s">
        <v>967</v>
      </c>
      <c r="CK6" s="228" t="s">
        <v>968</v>
      </c>
      <c r="CL6" s="228" t="s">
        <v>875</v>
      </c>
      <c r="CM6" s="210"/>
      <c r="CN6" s="213" t="s">
        <v>969</v>
      </c>
      <c r="CO6" s="213" t="s">
        <v>878</v>
      </c>
      <c r="CP6" s="213" t="s">
        <v>879</v>
      </c>
      <c r="CQ6" s="213" t="s">
        <v>970</v>
      </c>
      <c r="CR6" s="213" t="s">
        <v>970</v>
      </c>
      <c r="CS6" s="213" t="s">
        <v>971</v>
      </c>
      <c r="CT6" s="213" t="s">
        <v>972</v>
      </c>
      <c r="CU6" s="213" t="s">
        <v>883</v>
      </c>
      <c r="CV6" s="214" t="s">
        <v>973</v>
      </c>
      <c r="CX6" s="212">
        <v>1</v>
      </c>
    </row>
    <row r="7" spans="1:102" ht="21" customHeight="1">
      <c r="A7" s="229">
        <v>1</v>
      </c>
      <c r="B7" s="230" t="s">
        <v>888</v>
      </c>
      <c r="C7" s="231" t="str">
        <f t="shared" ref="C7:C66" si="0">IF(7=7,IF($B7="","",TRIM(IF(RIGHT(TRIM($B7),1)="?",LEFT(TRIM($B7),LEN(TRIM($B7))-1),TRIM($B7)))&amp;IF(COUNTIF($E7:$R7,"X")&gt;0," *",IF(OR(E7="?",F7="?",G7="?",H7="?",I7="?",J7="?",K7="?",L7="?",M7="?",N7="?",O7="?",P7="?",Q7="?",R7="?")," ?",""))),"")</f>
        <v>Lait *</v>
      </c>
      <c r="D7" s="232" t="str">
        <f>IF(7=7,IF($B7="","",IF(E7="X",""&amp;"Céréales contenant du gluten","")&amp;IF(F7="X",IF(COUNTIF($E7:$E7,"X")&gt;0,", ","")&amp;"Crustacés","")&amp;IF(G7="X",IF(COUNTIF($E7:$F7,"X")&gt;0,", ","")&amp;"Œufs","")&amp;IF(H7="X",IF(COUNTIF($E7:$G7,"X")&gt;0,", ","")&amp;"Poissons","")&amp;IF(I7="X",IF(COUNTIF($E7:$H7,"X")&gt;0,", ","")&amp;"Arachides","")&amp;IF(J7="X",IF(COUNTIF($E7:$I7,"X")&gt;0,", ","")&amp;"Soja","")&amp;IF(K7="X",IF(COUNTIF($E7:$J7,"X")&gt;0,", ","")&amp;"Lait","")&amp;IF(L7="X",IF(COUNTIF($E7:$K7,"X")&gt;0,", ","")&amp;"Fruits à coque","")&amp;IF(M7="X",IF(COUNTIF($E7:$L7,"X")&gt;0,", ","")&amp;"Céleri","")&amp;IF(N7="X",IF(COUNTIF($E7:$M7,"X")&gt;0,", ","")&amp;"Moutarde","")&amp;IF(O7="X",IF(COUNTIF($E7:$N7,"X")&gt;0,", ","")&amp;"Sésame","")&amp;IF(P7="X",IF(COUNTIF($E7:$O7,"X")&gt;0,", ","")&amp;"Sulfites","")&amp;IF(Q7="X",IF(COUNTIF($E7:$P7,"X")&gt;0,", ","")&amp;"Lupin","")&amp;IF(R7="X",IF(COUNTIF($E7:$Q7,"X")&gt;0,", ","")&amp;"Mollusques","")),"")</f>
        <v>Lait</v>
      </c>
      <c r="E7" s="233" t="str">
        <f>IF(7=7,IF($B7="","",IF(OR(ISNUMBER(SEARCH(" biere sans gluten ",$AA7)),ISNUMBER(SEARCH(" gluten free beer ",$AA7)),ISNUMBER(SEARCH(" beer gluten free ",$AA7))),"",IF(AF7="X","X",IF(OR(AF7="?",OR(ISNUMBER(SEARCH(" worcestershire ",$AA7)),ISNUMBER(SEARCH(" bloody mary ",$AA7)))),"?","")))),"")</f>
        <v/>
      </c>
      <c r="F7" s="233" t="str">
        <f>IF(7=7,IF($B7="","",AI7),"")</f>
        <v/>
      </c>
      <c r="G7" s="233" t="str">
        <f>IF(7=7,IF($B7="","",IF(OR(TRIM($AA7)="puree pate d amande",TRIM($AA7)="pate puree d amande",TRIM($AA7)="puree d amande",TRIM($AA7)="pate d amande",TRIM($AA7)="pate puree de noisette",TRIM($AA7)="puree pate de noisette",TRIM($AA7)="puree de noisette",TRIM($AA7)="pate de noisette"),"",IF(OR(AM7="X",OR(ISNUMBER(SEARCH(" macaron ",$AA7)),ISNUMBER(SEARCH(" egg nog ",$AA7)),ISNUMBER(SEARCH(" eggnog ",$AA7)))),"X",IF(OR(AM7="?",OR(ISNUMBER(SEARCH(" biscuit decoratif ",$AA7)),ISNUMBER(SEARCH(" whisky sour ",$AA7)),ISNUMBER(SEARCH(" whiskey sour ",$AA7)),ISNUMBER(SEARCH(" amaretto sour ",$AA7)),ISNUMBER(SEARCH(" pisco sour ",$AA7)),ISNUMBER(SEARCH(" clover club ",$AA7)),ISNUMBER(SEARCH(" ramos gin fizz ",$AA7)))),"?","")))),"")</f>
        <v/>
      </c>
      <c r="H7" s="233" t="str">
        <f>IF(7=7,IF($B7="","",IF(ISNUMBER(SEARCH(" colin ",$AA7)),"X",IF(AZ7="X","X",IF(OR(AZ7="?",OR(ISNUMBER(SEARCH(" worcestershire ",$AA7)),ISNUMBER(SEARCH(" bloody mary ",$AA7)))),"?","")))),"")</f>
        <v/>
      </c>
      <c r="I7" s="233" t="str">
        <f>IF(7=7,IF($B7="","",BB7),"")</f>
        <v/>
      </c>
      <c r="J7" s="233" t="str">
        <f>IF(7=7,IF($B7="","",BF7),"")</f>
        <v/>
      </c>
      <c r="K7" s="233" t="str">
        <f>IF(7=7,IF($B7="","",IF(OR(OR(TRIM($AA7)="puree pate d amande",TRIM($AA7)="pate puree d amande",TRIM($AA7)="puree d amande",TRIM($AA7)="pate d amande",TRIM($AA7)="pate puree de noisette",TRIM($AA7)="puree pate de noisette",TRIM($AA7)="puree de noisette",TRIM($AA7)="pate de noisette"),OR(TRIM($AA7)="beurre puree d arachide",TRIM($AA7)="beurre d arachide",TRIM($AA7)="puree d arachide"),OR(TRIM($AA7)="tahini puree de sesame",TRIM($AA7)="tahini",TRIM($AA7)="puree de sesame")),"",IF(OR(TRIM($AA7)="creme de cassis",TRIM($AA7)="creme de menthe",TRIM($AA7)="creme de cacao",TRIM($AA7)="creme de mure",TRIM($AA7)="creme de framboise",TRIM($AA7)="creme de peche",TRIM($AA7)="creme de banane",TRIM($AA7)="liqueur creme de coco",TRIM($AA7)="creme de coco",TRIM($AA7)="spiritueux aromatise arrange creme de spiritueux"),"?",IF(OR(BM7="X",OR(ISNUMBER(SEARCH(" baileys ",$AA7)),ISNUMBER(SEARCH(" irish cream ",$AA7)),ISNUMBER(SEARCH(" creme de whisky ",$AA7)))),"X",IF(OR(BM7="?",OR(OR(TRIM($AA7)="creme de cassis",TRIM($AA7)="creme de menthe",TRIM($AA7)="creme de cacao",TRIM($AA7)="creme de mure",TRIM($AA7)="creme de framboise",TRIM($AA7)="creme de peche",TRIM($AA7)="creme de banane",TRIM($AA7)="liqueur creme de coco",TRIM($AA7)="creme de coco",TRIM($AA7)="spiritueux aromatise arrange creme de spiritueux"),ISNUMBER(SEARCH(" advocaat ",$AA7)),ISNUMBER(SEARCH(" liqueur aux oeufs ",$AA7)),ISNUMBER(SEARCH(" liqueur de chocolat ",$AA7)),ISNUMBER(SEARCH(" liqueur de caramel ",$AA7)),ISNUMBER(SEARCH(" sauce nappage chocolat ",$AA7)),ISNUMBER(SEARCH(" biscuit decoratif ",$AA7)),ISNUMBER(SEARCH(" white russian ",$AA7)),ISNUMBER(SEARCH(" grasshopper ",$AA7)),ISNUMBER(SEARCH(" irish coffee ",$AA7)),ISNUMBER(SEARCH(" ramos gin fizz ",$AA7)),ISNUMBER(SEARCH(" egg nog ",$AA7)),ISNUMBER(SEARCH(" eggnog ",$AA7)))),"?",""))))),"")</f>
        <v>X</v>
      </c>
      <c r="L7" s="233" t="str">
        <f>IF(7=7,IF($B7="","",IF(OR(BQ7="X",OR(OR(TRIM($AA7)="puree pate d amande",TRIM($AA7)="pate puree d amande",TRIM($AA7)="puree d amande",TRIM($AA7)="pate d amande",TRIM($AA7)="pate puree de noisette",TRIM($AA7)="puree pate de noisette",TRIM($AA7)="puree de noisette",TRIM($AA7)="pate de noisette"),ISNUMBER(SEARCH(" macaron ",$AA7)),TRIM($AA7)="fruits a coque")),"X",IF(OR(BQ7="?",OR(ISNUMBER(SEARCH(" sirop d orgeat ",$AA7)),ISNUMBER(SEARCH(" orgeat ",$AA7)),ISNUMBER(SEARCH(" amaretto ",$AA7)))),"?",""))),"")</f>
        <v/>
      </c>
      <c r="M7" s="233" t="str">
        <f>IF(7=7,IF($B7="","",IF(OR(OR(TRIM($AA7)="puree pate d amande",TRIM($AA7)="pate puree d amande",TRIM($AA7)="puree d amande",TRIM($AA7)="pate d amande",TRIM($AA7)="pate puree de noisette",TRIM($AA7)="puree pate de noisette",TRIM($AA7)="puree de noisette",TRIM($AA7)="pate de noisette"),OR(TRIM($AA7)="tahini puree de sesame",TRIM($AA7)="tahini",TRIM($AA7)="puree de sesame")),"",IF(BT7="X","X",IF(OR(BT7="?",ISNUMBER(SEARCH(" bloody mary ",$AA7))),"?","")))),"")</f>
        <v/>
      </c>
      <c r="N7" s="233" t="str">
        <f>IF(7=7,IF($B7="","",IF(OR(OR(TRIM($AA7)="puree pate d amande",TRIM($AA7)="pate puree d amande",TRIM($AA7)="puree d amande",TRIM($AA7)="pate d amande",TRIM($AA7)="pate puree de noisette",TRIM($AA7)="puree pate de noisette",TRIM($AA7)="puree de noisette",TRIM($AA7)="pate de noisette"),OR(TRIM($AA7)="tahini puree de sesame",TRIM($AA7)="tahini",TRIM($AA7)="puree de sesame")),"",IF(BW7="X","X",IF(OR(BW7="?",ISNUMBER(SEARCH(" bloody mary ",$AA7))),"?","")))),"")</f>
        <v/>
      </c>
      <c r="O7" s="233" t="str">
        <f>IF(7=7,IF($B7="","",BZ7),"")</f>
        <v/>
      </c>
      <c r="P7" s="233" t="str">
        <f>IF(7=7,IF($B7="","",CC7),"")</f>
        <v/>
      </c>
      <c r="Q7" s="233" t="str">
        <f>IF(7=7,IF($B7="","",CF7),"")</f>
        <v/>
      </c>
      <c r="R7" s="233" t="str">
        <f>IF(7=7,IF($B7="","",IF(TRIM($AA7)="fruits a coque","",IF(CL7="X","X",IF(OR(CL7="?",OR(ISNUMBER(SEARCH(" clamato ",$AA7)),ISNUMBER(SEARCH(" bloody caesar ",$AA7)))),"?","")))),"")</f>
        <v/>
      </c>
      <c r="S7" s="234" t="str">
        <f>IF(7=7,IF($B7="","",IF(E7="?",""&amp;"Céréales contenant du gluten","")&amp;IF(F7="?",IF(COUNTIF($E7:$E7,"~?")&gt;0,", ","")&amp;"Crustacés","")&amp;IF(G7="?",IF(COUNTIF($E7:$F7,"~?")&gt;0,", ","")&amp;"Œufs","")&amp;IF(H7="?",IF(COUNTIF($E7:$G7,"~?")&gt;0,", ","")&amp;"Poissons","")&amp;IF(I7="?",IF(COUNTIF($E7:$H7,"~?")&gt;0,", ","")&amp;"Arachides","")&amp;IF(J7="?",IF(COUNTIF($E7:$I7,"~?")&gt;0,", ","")&amp;"Soja","")&amp;IF(K7="?",IF(COUNTIF($E7:$J7,"~?")&gt;0,", ","")&amp;"Lait","")&amp;IF(L7="?",IF(COUNTIF($E7:$K7,"~?")&gt;0,", ","")&amp;"Fruits à coque","")&amp;IF(M7="?",IF(COUNTIF($E7:$L7,"~?")&gt;0,", ","")&amp;"Céleri","")&amp;IF(N7="?",IF(COUNTIF($E7:$M7,"~?")&gt;0,", ","")&amp;"Moutarde","")&amp;IF(O7="?",IF(COUNTIF($E7:$N7,"~?")&gt;0,", ","")&amp;"Sésame","")&amp;IF(P7="?",IF(COUNTIF($E7:$O7,"~?")&gt;0,", ","")&amp;"Sulfites","")&amp;IF(Q7="?",IF(COUNTIF($E7:$P7,"~?")&gt;0,", ","")&amp;"Lupin","")&amp;IF(R7="?",IF(COUNTIF($E7:$Q7,"~?")&gt;0,", ","")&amp;"Mollusques","")),"")</f>
        <v/>
      </c>
      <c r="U7" s="209" t="str">
        <f>IF(7=7,IF($B7="","",$B7),"")</f>
        <v>Lait</v>
      </c>
      <c r="V7" s="209" t="str">
        <f>IF(7=7,LOWER(CLEAN(SUBSTITUTE(SUBSTITUTE(SUBSTITUTE(SUBSTITUTE($U7,CHAR(160)," ")," "," "),CHAR(10)," "),CHAR(13)," "))),"")</f>
        <v>lait</v>
      </c>
      <c r="W7" s="209" t="str">
        <f>IF(7=7,SUBSTITUTE(SUBSTITUTE(SUBSTITUTE(SUBSTITUTE(SUBSTITUTE(SUBSTITUTE(SUBSTITUTE(SUBSTITUTE(SUBSTITUTE(SUBSTITUTE(SUBSTITUTE(SUBSTITUTE($V7,"œ","oe"),"æ","ae"),"à","a"),"á","a"),"â","a"),"ä","a"),"ã","a"),"ç","c"),"è","e"),"é","e"),"ê","e"),"ë","e"),"")</f>
        <v>lait</v>
      </c>
      <c r="X7" s="209" t="str">
        <f>IF(7=7,SUBSTITUTE(SUBSTITUTE(SUBSTITUTE(SUBSTITUTE(SUBSTITUTE(SUBSTITUTE(SUBSTITUTE(SUBSTITUTE(SUBSTITUTE(SUBSTITUTE(SUBSTITUTE(SUBSTITUTE(SUBSTITUTE(SUBSTITUTE(SUBSTITUTE(SUBSTITUTE($W7,"ì","i"),"í","i"),"î","i"),"ï","i"),"ñ","n"),"ò","o"),"ó","o"),"ô","o"),"ö","o"),"õ","o"),"ù","u"),"ú","u"),"û","u"),"ü","u"),"ý","y"),"ÿ","y"),"")</f>
        <v>lait</v>
      </c>
      <c r="Y7" s="209" t="str">
        <f>IF(7=7,SUBSTITUTE(SUBSTITUTE(SUBSTITUTE(SUBSTITUTE(SUBSTITUTE(SUBSTITUTE(SUBSTITUTE(SUBSTITUTE(SUBSTITUTE(SUBSTITUTE(SUBSTITUTE(SUBSTITUTE(SUBSTITUTE(SUBSTITUTE($X7,"’"," "),"`"," "),"–"," "),"—"," "),"-"," "),"'"," "),"/"," "),"_"," "),","," "),"."," "),"("," "),")"," "),";"," "),":"," "),"")</f>
        <v>lait</v>
      </c>
      <c r="Z7" s="209" t="str">
        <f>IF(7=7,SUBSTITUTE(SUBSTITUTE(SUBSTITUTE(SUBSTITUTE(SUBSTITUTE(SUBSTITUTE(SUBSTITUTE(SUBSTITUTE(SUBSTITUTE(SUBSTITUTE(SUBSTITUTE(SUBSTITUTE(SUBSTITUTE(SUBSTITUTE(SUBSTITUTE($Y7,"!"," "),"?"," "),"+"," "),"*"," "),"&amp;"," "),"["," "),"]"," "),"{"," "),"}"," "),"%"," "),"="," "),"\"," "),"|"," "),"&lt;"," "),"&gt;"," "),"")</f>
        <v>lait</v>
      </c>
      <c r="AA7" s="209" t="str">
        <f>IF(7=7," "&amp;TRIM(SUBSTITUTE(SUBSTITUTE(SUBSTITUTE(SUBSTITUTE(SUBSTITUTE(SUBSTITUTE($Z7,CHAR(34)," "),"  "," "),"  "," "),"  "," "),"  "," "),"  "," "))&amp;" ","")</f>
        <v xml:space="preserve"> lait </v>
      </c>
      <c r="AB7" s="209">
        <f>IF(7=7,IF($U7="","",SUMPRODUCT(--ISNUMBER(SEARCH(" "&amp;$CR$2:$CR$101&amp;" ",$AD7)))),"")</f>
        <v>0</v>
      </c>
      <c r="AC7" s="209">
        <f>IF(7=7,IF($U7="","",SUMPRODUCT(--ISNUMBER(SEARCH(" "&amp;$CR$102:$CR$151&amp;" ",$AD7)))),"")</f>
        <v>0</v>
      </c>
      <c r="AD7" s="209" t="str">
        <f t="shared" ref="AD7:AD66" si="1">IF($U7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7," "&amp;$CR$112&amp;" "," ")," "&amp;$CR$113&amp;" "," ")," "&amp;$CR$114&amp;" "," ")," "&amp;$CR$115&amp;" "," ")," "&amp;$CR$148&amp;" "," ")," "&amp;$CR$152&amp;" "," ")," "&amp;$CR$153&amp;" "," ")," "&amp;$CR$154&amp;" "," ")," "&amp;$CR$155&amp;" "," ")," "&amp;$CR$156&amp;" "," ")," "&amp;$CR$157&amp;" "," ")," "&amp;$CR$158&amp;" "," ")," "&amp;$CR$159&amp;" "," ")," "&amp;$CR$160&amp;" "," ")," "&amp;$CR$161&amp;" "," ")," "&amp;$CR$162&amp;" "," ")," "&amp;$CR$163&amp;" "," ")," "&amp;$CR$164&amp;" "," ")," "&amp;$CR$165&amp;" "," ")," "&amp;$CR$166&amp;" "," ")," "&amp;$CR$167&amp;" "," ")," "&amp;$CR$168&amp;" "," ")," "&amp;$CR$169&amp;" "," ")," "&amp;$CR$170&amp;" "," ")," "&amp;$CR$171&amp;" "," ")," "&amp;$CR$172&amp;" "," ")," "&amp;$CR$173&amp;" "," ")," "&amp;$CR$174&amp;" "," ")," "&amp;$CR$175&amp;" "," ")," "&amp;$CR$176&amp;" "," ")," "&amp;$CR$177&amp;" "," ")," "&amp;$CR$178&amp;" "," ")," "&amp;$CR$179&amp;" "," ")," "&amp;$CR$180&amp;" "," ")," "&amp;$CR$181&amp;" "," ")," "&amp;$CR$182&amp;" "," ")," "&amp;$CR$183&amp;" "," ")," "&amp;$CR$2417&amp;" "," ")," "&amp;$CR$2425&amp;" "," ")," "&amp;$CR$2426&amp;" "," ")," "&amp;$CR$2427&amp;" "," ")," "&amp;$CR$2428&amp;" "," ")," "&amp;$CR$2429&amp;" "," ")," "&amp;$CR$2430&amp;" "," ")," "&amp;$CR$2431&amp;" "," ")," "&amp;$CR$2432&amp;" "," ")," "&amp;$CR$2433&amp;" "," ")," "&amp;$CR$2434&amp;" "," ")," "&amp;$CR$2435&amp;" "," ")," "&amp;$CR$2436&amp;" "," ")," "&amp;$CR$2437&amp;" "," "))</f>
        <v xml:space="preserve"> lait </v>
      </c>
      <c r="AE7" s="209">
        <f t="shared" ref="AE7:AE66" si="2">IF($U7="","",SUMPRODUCT(--ISNUMBER(SEARCH(" "&amp;$CR$184:$CR$205&amp;" ",$AD7)))+--ISNUMBER(SEARCH(" "&amp;$CR$2454&amp;" ",$AD7)))</f>
        <v>0</v>
      </c>
      <c r="AF7" s="209" t="str">
        <f>IF(7=7,IF($U7="","",IF(SUM(AB7:AC7)+SUMPRODUCT(--ISNUMBER(SEARCH(" "&amp;$CR$2418:$CR$2420&amp;" ",$AD7)))&gt;0,"X",IF(AE7&gt;0,"?",""))),"")</f>
        <v/>
      </c>
      <c r="AG7" s="209">
        <f>IF(7=7,IF($U7="","",SUMPRODUCT(--ISNUMBER(SEARCH(" "&amp;$CR$206:$CR$305&amp;" ",$AA7)))),"")</f>
        <v>0</v>
      </c>
      <c r="AH7" s="209">
        <f>IF(7=7,IF($U7="","",SUMPRODUCT(--ISNUMBER(SEARCH(" "&amp;$CR$306:$CR$340&amp;" ",$AA7)))),"")</f>
        <v>0</v>
      </c>
      <c r="AI7" s="209" t="str">
        <f>IF(7=7,IF($U7="","",IF((SUM(AG7:AH7))-(0)&gt;0,"X",IF((0)-(0)&gt;0,"?",""))),"")</f>
        <v/>
      </c>
      <c r="AJ7" s="209">
        <f>IF(7=7,IF($U7="","",SUMPRODUCT(--ISNUMBER(SEARCH(" "&amp;$CR$341:$CR$398&amp;" ",$AA7)))),"")</f>
        <v>0</v>
      </c>
      <c r="AK7" s="209">
        <f>IF(7=7,IF($U7="","",SUMPRODUCT(--ISNUMBER(SEARCH(" "&amp;$CR$399:$CR$426&amp;" ",$AL7)))+SUMPRODUCT(--ISNUMBER(SEARCH(" "&amp;$CR$2440:$CR$2453&amp;" ",$AL7)))),"")</f>
        <v>0</v>
      </c>
      <c r="AL7" s="209" t="str">
        <f>IF(7=7,IF($U7="","",SUBSTITUTE(SUBSTITUTE(SUBSTITUTE(SUBSTITUTE(SUBSTITUTE(SUBSTITUTE(SUBSTITUTE(SUBSTITUTE(SUBSTITUTE(SUBSTITUTE(SUBSTITUTE(SUBSTITUTE(SUBSTITUTE(SUBSTITUTE($AA7,"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lait </v>
      </c>
      <c r="AM7" s="209" t="str">
        <f>IF(7=7,IF($U7="","",IF(AJ7&gt;0,"X",IF(AK7&gt;0,"?",""))),"")</f>
        <v/>
      </c>
      <c r="AN7" s="209">
        <f>IF(7=7,IF($U7="","",SUMPRODUCT(--ISNUMBER(SEARCH(" "&amp;$CR$436:$CR$535&amp;" ",$AX7)))),"")</f>
        <v>0</v>
      </c>
      <c r="AO7" s="209">
        <f>IF(7=7,IF($U7="","",SUMPRODUCT(--ISNUMBER(SEARCH(" "&amp;$CR$536:$CR$635&amp;" ",$AX7)))),"")</f>
        <v>0</v>
      </c>
      <c r="AP7" s="209">
        <f>IF(7=7,IF($U7="","",SUMPRODUCT(--ISNUMBER(SEARCH(" "&amp;$CR$636:$CR$735&amp;" ",$AX7)))),"")</f>
        <v>0</v>
      </c>
      <c r="AQ7" s="209">
        <f>IF(7=7,IF($U7="","",SUMPRODUCT(--ISNUMBER(SEARCH(" "&amp;$CR$736:$CR$835&amp;" ",$AX7)))),"")</f>
        <v>0</v>
      </c>
      <c r="AR7" s="209">
        <f>IF(7=7,IF($U7="","",SUMPRODUCT(--ISNUMBER(SEARCH(" "&amp;$CR$836:$CR$935&amp;" ",$AX7)))),"")</f>
        <v>0</v>
      </c>
      <c r="AS7" s="209">
        <f>IF(7=7,IF($U7="","",SUMPRODUCT(--ISNUMBER(SEARCH(" "&amp;$CR$936:$CR$1035&amp;" ",$AX7)))),"")</f>
        <v>0</v>
      </c>
      <c r="AT7" s="209">
        <f>IF(7=7,IF($U7="","",SUMPRODUCT(--ISNUMBER(SEARCH(" "&amp;$CR$1036:$CR$1135&amp;" ",$AX7)))),"")</f>
        <v>0</v>
      </c>
      <c r="AU7" s="209">
        <f>IF(7=7,IF($U7="","",SUMPRODUCT(--ISNUMBER(SEARCH(" "&amp;$CR$1136:$CR$1235&amp;" ",$AX7)))),"")</f>
        <v>0</v>
      </c>
      <c r="AV7" s="209">
        <f>IF(7=7,IF($U7="","",SUMPRODUCT(--ISNUMBER(SEARCH(" "&amp;$CR$1236:$CR$1335&amp;" ",$AX7)))),"")</f>
        <v>0</v>
      </c>
      <c r="AW7" s="209">
        <f>IF(7=7,IF($U7="","",SUMPRODUCT(--ISNUMBER(SEARCH(" "&amp;$CR$1336:$CR$1363&amp;" ",$AX7)))),"")</f>
        <v>0</v>
      </c>
      <c r="AX7" s="209" t="str">
        <f>IF(7=7,IF($U7="","",SUBSTITUTE(SUBSTITUTE(SUBSTITUTE(SUBSTITUTE(SUBSTITUTE(SUBSTITUTE(SUBSTITUTE(SUBSTITUTE(SUBSTITUTE($AA7,"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lait </v>
      </c>
      <c r="AY7" s="209">
        <f>IF(7=7,IF($U7="","",SUMPRODUCT(--ISNUMBER(SEARCH(" "&amp;$CR$1373:$CR$1383&amp;" ",$AX7)))),"")</f>
        <v>0</v>
      </c>
      <c r="AZ7" s="209" t="str">
        <f>IF(7=7,IF($U7="","",IF(SUM(AN7:AW7)+SUMPRODUCT(--ISNUMBER(SEARCH(" "&amp;$CR$2421:$CR$2422&amp;" ",$AX7)))&gt;0,"X",IF(AY7&gt;0,"?",""))),"")</f>
        <v/>
      </c>
      <c r="BA7" s="209">
        <f>IF(7=7,IF($U7="","",SUMPRODUCT(--ISNUMBER(SEARCH(" "&amp;$CR$1384:$CR$1404&amp;" ",$AA7)))),"")</f>
        <v>0</v>
      </c>
      <c r="BB7" s="209" t="str">
        <f>IF(7=7,IF($U7="","",IF((BA7)-(0)&gt;0,"X",IF((0)-(0)&gt;0,"?",""))),"")</f>
        <v/>
      </c>
      <c r="BC7" s="209">
        <f>IF(7=7,IF($U7="","",SUMPRODUCT(--ISNUMBER(SEARCH(" "&amp;$CR$1405:$CR$1442&amp;" ",$BD7)))),"")</f>
        <v>0</v>
      </c>
      <c r="BD7" s="209" t="str">
        <f>IF(7=7,IF($U7="","",SUBSTITUTE(SUBSTITUTE($AA7," "&amp;$CR$1443&amp;" "," ")," "&amp;$CR$1444&amp;" "," ")),"")</f>
        <v xml:space="preserve"> lait </v>
      </c>
      <c r="BE7" s="209">
        <f>IF(7=7,IF($U7="","",SUMPRODUCT(--ISNUMBER(SEARCH(" "&amp;$CR$1445:$CR$1455&amp;" ",$BD7)))),"")</f>
        <v>0</v>
      </c>
      <c r="BF7" s="209" t="str">
        <f>IF(7=7,IF($U7="","",IF(BC7&gt;0,"X",IF(BE7&gt;0,"?",""))),"")</f>
        <v/>
      </c>
      <c r="BG7" s="209">
        <f>IF(7=7,IF($U7="","",SUMPRODUCT(--ISNUMBER(SEARCH(" "&amp;$CR$1456:$CR$1555&amp;" ",$BJ7)))),"")</f>
        <v>0</v>
      </c>
      <c r="BH7" s="209">
        <f>IF(7=7,IF($U7="","",SUMPRODUCT(--ISNUMBER(SEARCH(" "&amp;$CR$1556:$CR$1655&amp;" ",$BJ7)))),"")</f>
        <v>1</v>
      </c>
      <c r="BI7" s="209">
        <f>IF(7=7,IF($U7="","",SUMPRODUCT(--ISNUMBER(SEARCH(" "&amp;$CR$1656:$CR$1739&amp;" ",$BJ7)))),"")</f>
        <v>0</v>
      </c>
      <c r="BJ7" s="209" t="str">
        <f>IF(7=7,IF($U7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7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lait </v>
      </c>
      <c r="BK7" s="209">
        <f>IF(7=7,IF($U7="","",SUMPRODUCT(--ISNUMBER(SEARCH(" "&amp;$CR$1790:$CR$1869&amp;" ",$BL7)))+SUMPRODUCT(--ISNUMBER(SEARCH(" "&amp;$CR$2440:$CR$2453&amp;" ",$BL7)))),"")</f>
        <v>0</v>
      </c>
      <c r="BL7" s="209" t="str">
        <f>IF(7=7,IF($U7="","",SUBSTITUTE(SUBSTITUTE(SUBSTITUTE(SUBSTITUTE(SUBSTITUTE(SUBSTITUTE(SUBSTITUTE(SUBSTITUTE(SUBSTITUTE(SUBSTITUTE(SUBSTITUTE(SUBSTITUTE(SUBSTITUTE($BJ7,"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lait </v>
      </c>
      <c r="BM7" s="209" t="str">
        <f>IF(7=7,IF($U7="","",IF(SUM(BG7:BI7)+SUMPRODUCT(--ISNUMBER(SEARCH(" "&amp;$CR$2423:$CR$2424&amp;" ",$BJ7)))&gt;0,"X",IF(BK7&gt;0,"?",""))),"")</f>
        <v>X</v>
      </c>
      <c r="BN7" s="209">
        <f>IF(7=7,IF($U7="","",SUMPRODUCT(--ISNUMBER(SEARCH(" "&amp;$CR$1879:$CR$1936&amp;" ",$BO7)))),"")</f>
        <v>0</v>
      </c>
      <c r="BO7" s="209" t="str">
        <f>IF(7=7,IF($U7="","",SUBSTITUTE(SUBSTITUTE(SUBSTITUTE(SUBSTITUTE(SUBSTITUTE(SUBSTITUTE(SUBSTITUTE(SUBSTITUTE(SUBSTITUTE(SUBSTITUTE(SUBSTITUTE(SUBSTITUTE(SUBSTITUTE(SUBSTITUTE(SUBSTITUTE(SUBSTITUTE(SUBSTITUTE(SUBSTITUTE(SUBSTITUTE(SUBSTITUTE(SUBSTITUTE(SUBSTITUTE(SUBSTITUTE($AA7,"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lait </v>
      </c>
      <c r="BP7" s="209">
        <f>IF(7=7,IF($U7="","",SUMPRODUCT(--ISNUMBER(SEARCH(" "&amp;$CR$1960:$CR$1976&amp;" ",$BO7)))),"")</f>
        <v>0</v>
      </c>
      <c r="BQ7" s="209" t="str">
        <f>IF(7=7,IF($U7="","",IF(BN7&gt;0,"X",IF(BP7&gt;0,"?",""))),"")</f>
        <v/>
      </c>
      <c r="BR7" s="209">
        <f>IF(7=7,IF($U7="","",SUMPRODUCT(--ISNUMBER(SEARCH(" "&amp;$CR$1977:$CR$1990&amp;" ",$AA7)))),"")</f>
        <v>0</v>
      </c>
      <c r="BS7" s="209">
        <f>IF(7=7,IF($U7="","",SUMPRODUCT(--ISNUMBER(SEARCH(" "&amp;$CR$1991:$CR$2005&amp;" ",$AA7)))),"")</f>
        <v>0</v>
      </c>
      <c r="BT7" s="209" t="str">
        <f>IF(7=7,IF($U7="","",IF((BR7)-(0)&gt;0,"X",IF((BS7)-(0)&gt;0,"?",""))),"")</f>
        <v/>
      </c>
      <c r="BU7" s="209">
        <f>IF(7=7,IF($U7="","",SUMPRODUCT(--ISNUMBER(SEARCH(" "&amp;$CR$2006:$CR$2023&amp;" ",$AA7)))),"")</f>
        <v>0</v>
      </c>
      <c r="BV7" s="209">
        <f>IF(7=7,IF($U7="","",SUMPRODUCT(--ISNUMBER(SEARCH(" "&amp;$CR$2024:$CR$2038&amp;" ",$AA7)))),"")</f>
        <v>0</v>
      </c>
      <c r="BW7" s="209" t="str">
        <f>IF(7=7,IF($U7="","",IF((BU7)-(0)&gt;0,"X",IF((BV7)-(0)&gt;0,"?",""))),"")</f>
        <v/>
      </c>
      <c r="BX7" s="209">
        <f>IF(7=7,IF($U7="","",SUMPRODUCT(--ISNUMBER(SEARCH(" "&amp;$CR$2039:$CR$2057&amp;" ",$AA7)))),"")</f>
        <v>0</v>
      </c>
      <c r="BY7" s="209">
        <f>IF(7=7,IF($U7="","",SUMPRODUCT(--ISNUMBER(SEARCH(" "&amp;$CR$2058:$CR$2072&amp;" ",$AA7)))),"")</f>
        <v>0</v>
      </c>
      <c r="BZ7" s="209" t="str">
        <f>IF(7=7,IF($U7="","",IF((BX7)-(0)&gt;0,"X",IF((BY7)-(0)&gt;0,"?",""))),"")</f>
        <v/>
      </c>
      <c r="CA7" s="209">
        <f>IF(7=7,IF($U7="","",SUMPRODUCT(--ISNUMBER(SEARCH(" "&amp;$CR$2073:$CR$2093&amp;" ",$AA7)))),"")</f>
        <v>0</v>
      </c>
      <c r="CB7" s="209">
        <f>IF(7=7,IF($U7="","",SUMPRODUCT(--ISNUMBER(SEARCH(" "&amp;$CR$2094:$CR$2133&amp;" ",SUBSTITUTE(SUBSTITUTE($AA7," "&amp;$CR$1367&amp;" "," ")," "&amp;$CR$1366&amp;" "," "))))+--ISNUMBER(SEARCH("poiré",$V7))),"")</f>
        <v>0</v>
      </c>
      <c r="CC7" s="209" t="str">
        <f>IF(7=7,IF($U7="","",IF(OR(CA7&gt;0,ISNUMBER(SEARCH(" vinaigre de vin ",$AA7)),ISNUMBER(SEARCH(" vinaigre au vin ",$AA7))),"X",IF(CB7&gt;0,"?",""))),"")</f>
        <v/>
      </c>
      <c r="CD7" s="209">
        <f>IF(7=7,IF($U7="","",SUMPRODUCT(--ISNUMBER(SEARCH(" "&amp;$CR$2134:$CR$2146&amp;" ",$AA7)))),"")</f>
        <v>0</v>
      </c>
      <c r="CE7" s="209">
        <f>IF(7=7,IF($U7="","",SUMPRODUCT(--ISNUMBER(SEARCH(" "&amp;$CR$2147:$CR$2152&amp;" ",$AA7)))),"")</f>
        <v>0</v>
      </c>
      <c r="CF7" s="209" t="str">
        <f>IF(7=7,IF($U7="","",IF((CD7)-(0)&gt;0,"X",IF((CE7)-(0)&gt;0,"?",""))),"")</f>
        <v/>
      </c>
      <c r="CG7" s="209">
        <f>IF(7=7,IF($U7="","",SUMPRODUCT(--ISNUMBER(SEARCH(" "&amp;$CR$2153:$CR$2252&amp;" ",$CJ7)))),"")</f>
        <v>0</v>
      </c>
      <c r="CH7" s="209">
        <f>IF(7=7,IF($U7="","",SUMPRODUCT(--ISNUMBER(SEARCH(" "&amp;$CR$2253:$CR$2352&amp;" ",$CJ7)))),"")</f>
        <v>0</v>
      </c>
      <c r="CI7" s="209">
        <f>IF(7=7,IF($U7="","",SUMPRODUCT(--ISNUMBER(SEARCH(" "&amp;$CR$2353:$CR$2395&amp;" ",$CJ7)))),"")</f>
        <v>0</v>
      </c>
      <c r="CJ7" s="209" t="str">
        <f>IF(7=7,IF($U7="","",SUBSTITUTE(SUBSTITUTE(SUBSTITUTE(SUBSTITUTE(SUBSTITUTE(SUBSTITUTE(SUBSTITUTE(SUBSTITUTE(SUBSTITUTE(SUBSTITUTE(SUBSTITUTE(SUBSTITUTE(SUBSTITUTE(SUBSTITUTE(SUBSTITUTE(SUBSTITUTE($AA7,"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lait </v>
      </c>
      <c r="CK7" s="209">
        <f>IF(7=7,IF($U7="","",SUMPRODUCT(--ISNUMBER(SEARCH(" "&amp;$CR$2412:$CR$2416&amp;" ",$CJ7)))),"")</f>
        <v>0</v>
      </c>
      <c r="CL7" s="209" t="str">
        <f>IF(7=7,IF($U7="","",IF(SUM(CG7:CI7)&gt;0,"X",IF(CK7&gt;0,"?",""))),"")</f>
        <v/>
      </c>
      <c r="CM7" s="210"/>
      <c r="CN7" s="213" t="s">
        <v>974</v>
      </c>
      <c r="CO7" s="213" t="s">
        <v>878</v>
      </c>
      <c r="CP7" s="213" t="s">
        <v>879</v>
      </c>
      <c r="CQ7" s="213" t="s">
        <v>975</v>
      </c>
      <c r="CR7" s="213" t="s">
        <v>976</v>
      </c>
      <c r="CS7" s="213" t="s">
        <v>881</v>
      </c>
      <c r="CT7" s="213" t="s">
        <v>882</v>
      </c>
      <c r="CU7" s="213" t="s">
        <v>883</v>
      </c>
      <c r="CV7" s="214" t="s">
        <v>884</v>
      </c>
      <c r="CX7" s="212">
        <v>1</v>
      </c>
    </row>
    <row r="8" spans="1:102" ht="21" customHeight="1">
      <c r="A8" s="229">
        <v>2</v>
      </c>
      <c r="B8" s="230" t="s">
        <v>6431</v>
      </c>
      <c r="C8" s="231" t="str">
        <f t="shared" si="0"/>
        <v>Crème liquide / crème fraîche *</v>
      </c>
      <c r="D8" s="232" t="str">
        <f>IF(8=8,IF($B8="","",IF(E8="X",""&amp;"Céréales contenant du gluten","")&amp;IF(F8="X",IF(COUNTIF($E8:$E8,"X")&gt;0,", ","")&amp;"Crustacés","")&amp;IF(G8="X",IF(COUNTIF($E8:$F8,"X")&gt;0,", ","")&amp;"Œufs","")&amp;IF(H8="X",IF(COUNTIF($E8:$G8,"X")&gt;0,", ","")&amp;"Poissons","")&amp;IF(I8="X",IF(COUNTIF($E8:$H8,"X")&gt;0,", ","")&amp;"Arachides","")&amp;IF(J8="X",IF(COUNTIF($E8:$I8,"X")&gt;0,", ","")&amp;"Soja","")&amp;IF(K8="X",IF(COUNTIF($E8:$J8,"X")&gt;0,", ","")&amp;"Lait","")&amp;IF(L8="X",IF(COUNTIF($E8:$K8,"X")&gt;0,", ","")&amp;"Fruits à coque","")&amp;IF(M8="X",IF(COUNTIF($E8:$L8,"X")&gt;0,", ","")&amp;"Céleri","")&amp;IF(N8="X",IF(COUNTIF($E8:$M8,"X")&gt;0,", ","")&amp;"Moutarde","")&amp;IF(O8="X",IF(COUNTIF($E8:$N8,"X")&gt;0,", ","")&amp;"Sésame","")&amp;IF(P8="X",IF(COUNTIF($E8:$O8,"X")&gt;0,", ","")&amp;"Sulfites","")&amp;IF(Q8="X",IF(COUNTIF($E8:$P8,"X")&gt;0,", ","")&amp;"Lupin","")&amp;IF(R8="X",IF(COUNTIF($E8:$Q8,"X")&gt;0,", ","")&amp;"Mollusques","")),"")</f>
        <v>Lait</v>
      </c>
      <c r="E8" s="233" t="str">
        <f>IF(8=8,IF($B8="","",IF(OR(ISNUMBER(SEARCH(" biere sans gluten ",$AA8)),ISNUMBER(SEARCH(" gluten free beer ",$AA8)),ISNUMBER(SEARCH(" beer gluten free ",$AA8))),"",IF(AF8="X","X",IF(OR(AF8="?",OR(ISNUMBER(SEARCH(" worcestershire ",$AA8)),ISNUMBER(SEARCH(" bloody mary ",$AA8)))),"?","")))),"")</f>
        <v/>
      </c>
      <c r="F8" s="233" t="str">
        <f>IF(8=8,IF($B8="","",AI8),"")</f>
        <v/>
      </c>
      <c r="G8" s="233" t="str">
        <f>IF(8=8,IF($B8="","",IF(OR(TRIM($AA8)="puree pate d amande",TRIM($AA8)="pate puree d amande",TRIM($AA8)="puree d amande",TRIM($AA8)="pate d amande",TRIM($AA8)="pate puree de noisette",TRIM($AA8)="puree pate de noisette",TRIM($AA8)="puree de noisette",TRIM($AA8)="pate de noisette"),"",IF(OR(AM8="X",OR(ISNUMBER(SEARCH(" macaron ",$AA8)),ISNUMBER(SEARCH(" egg nog ",$AA8)),ISNUMBER(SEARCH(" eggnog ",$AA8)))),"X",IF(OR(AM8="?",OR(ISNUMBER(SEARCH(" biscuit decoratif ",$AA8)),ISNUMBER(SEARCH(" whisky sour ",$AA8)),ISNUMBER(SEARCH(" whiskey sour ",$AA8)),ISNUMBER(SEARCH(" amaretto sour ",$AA8)),ISNUMBER(SEARCH(" pisco sour ",$AA8)),ISNUMBER(SEARCH(" clover club ",$AA8)),ISNUMBER(SEARCH(" ramos gin fizz ",$AA8)))),"?","")))),"")</f>
        <v/>
      </c>
      <c r="H8" s="233" t="str">
        <f>IF(8=8,IF($B8="","",IF(ISNUMBER(SEARCH(" colin ",$AA8)),"X",IF(AZ8="X","X",IF(OR(AZ8="?",OR(ISNUMBER(SEARCH(" worcestershire ",$AA8)),ISNUMBER(SEARCH(" bloody mary ",$AA8)))),"?","")))),"")</f>
        <v/>
      </c>
      <c r="I8" s="233" t="str">
        <f>IF(8=8,IF($B8="","",BB8),"")</f>
        <v/>
      </c>
      <c r="J8" s="233" t="str">
        <f>IF(8=8,IF($B8="","",BF8),"")</f>
        <v/>
      </c>
      <c r="K8" s="233" t="str">
        <f>IF(8=8,IF($B8="","",IF(OR(OR(TRIM($AA8)="puree pate d amande",TRIM($AA8)="pate puree d amande",TRIM($AA8)="puree d amande",TRIM($AA8)="pate d amande",TRIM($AA8)="pate puree de noisette",TRIM($AA8)="puree pate de noisette",TRIM($AA8)="puree de noisette",TRIM($AA8)="pate de noisette"),OR(TRIM($AA8)="beurre puree d arachide",TRIM($AA8)="beurre d arachide",TRIM($AA8)="puree d arachide"),OR(TRIM($AA8)="tahini puree de sesame",TRIM($AA8)="tahini",TRIM($AA8)="puree de sesame")),"",IF(OR(TRIM($AA8)="creme de cassis",TRIM($AA8)="creme de menthe",TRIM($AA8)="creme de cacao",TRIM($AA8)="creme de mure",TRIM($AA8)="creme de framboise",TRIM($AA8)="creme de peche",TRIM($AA8)="creme de banane",TRIM($AA8)="liqueur creme de coco",TRIM($AA8)="creme de coco",TRIM($AA8)="spiritueux aromatise arrange creme de spiritueux"),"?",IF(OR(BM8="X",OR(ISNUMBER(SEARCH(" baileys ",$AA8)),ISNUMBER(SEARCH(" irish cream ",$AA8)),ISNUMBER(SEARCH(" creme de whisky ",$AA8)))),"X",IF(OR(BM8="?",OR(OR(TRIM($AA8)="creme de cassis",TRIM($AA8)="creme de menthe",TRIM($AA8)="creme de cacao",TRIM($AA8)="creme de mure",TRIM($AA8)="creme de framboise",TRIM($AA8)="creme de peche",TRIM($AA8)="creme de banane",TRIM($AA8)="liqueur creme de coco",TRIM($AA8)="creme de coco",TRIM($AA8)="spiritueux aromatise arrange creme de spiritueux"),ISNUMBER(SEARCH(" advocaat ",$AA8)),ISNUMBER(SEARCH(" liqueur aux oeufs ",$AA8)),ISNUMBER(SEARCH(" liqueur de chocolat ",$AA8)),ISNUMBER(SEARCH(" liqueur de caramel ",$AA8)),ISNUMBER(SEARCH(" sauce nappage chocolat ",$AA8)),ISNUMBER(SEARCH(" biscuit decoratif ",$AA8)),ISNUMBER(SEARCH(" white russian ",$AA8)),ISNUMBER(SEARCH(" grasshopper ",$AA8)),ISNUMBER(SEARCH(" irish coffee ",$AA8)),ISNUMBER(SEARCH(" ramos gin fizz ",$AA8)),ISNUMBER(SEARCH(" egg nog ",$AA8)),ISNUMBER(SEARCH(" eggnog ",$AA8)))),"?",""))))),"")</f>
        <v>X</v>
      </c>
      <c r="L8" s="233" t="str">
        <f>IF(8=8,IF($B8="","",IF(OR(BQ8="X",OR(OR(TRIM($AA8)="puree pate d amande",TRIM($AA8)="pate puree d amande",TRIM($AA8)="puree d amande",TRIM($AA8)="pate d amande",TRIM($AA8)="pate puree de noisette",TRIM($AA8)="puree pate de noisette",TRIM($AA8)="puree de noisette",TRIM($AA8)="pate de noisette"),ISNUMBER(SEARCH(" macaron ",$AA8)),TRIM($AA8)="fruits a coque")),"X",IF(OR(BQ8="?",OR(ISNUMBER(SEARCH(" sirop d orgeat ",$AA8)),ISNUMBER(SEARCH(" orgeat ",$AA8)),ISNUMBER(SEARCH(" amaretto ",$AA8)))),"?",""))),"")</f>
        <v/>
      </c>
      <c r="M8" s="233" t="str">
        <f>IF(8=8,IF($B8="","",IF(OR(OR(TRIM($AA8)="puree pate d amande",TRIM($AA8)="pate puree d amande",TRIM($AA8)="puree d amande",TRIM($AA8)="pate d amande",TRIM($AA8)="pate puree de noisette",TRIM($AA8)="puree pate de noisette",TRIM($AA8)="puree de noisette",TRIM($AA8)="pate de noisette"),OR(TRIM($AA8)="tahini puree de sesame",TRIM($AA8)="tahini",TRIM($AA8)="puree de sesame")),"",IF(BT8="X","X",IF(OR(BT8="?",ISNUMBER(SEARCH(" bloody mary ",$AA8))),"?","")))),"")</f>
        <v/>
      </c>
      <c r="N8" s="233" t="str">
        <f>IF(8=8,IF($B8="","",IF(OR(OR(TRIM($AA8)="puree pate d amande",TRIM($AA8)="pate puree d amande",TRIM($AA8)="puree d amande",TRIM($AA8)="pate d amande",TRIM($AA8)="pate puree de noisette",TRIM($AA8)="puree pate de noisette",TRIM($AA8)="puree de noisette",TRIM($AA8)="pate de noisette"),OR(TRIM($AA8)="tahini puree de sesame",TRIM($AA8)="tahini",TRIM($AA8)="puree de sesame")),"",IF(BW8="X","X",IF(OR(BW8="?",ISNUMBER(SEARCH(" bloody mary ",$AA8))),"?","")))),"")</f>
        <v/>
      </c>
      <c r="O8" s="233" t="str">
        <f>IF(8=8,IF($B8="","",BZ8),"")</f>
        <v/>
      </c>
      <c r="P8" s="233" t="str">
        <f>IF(8=8,IF($B8="","",CC8),"")</f>
        <v/>
      </c>
      <c r="Q8" s="233" t="str">
        <f>IF(8=8,IF($B8="","",CF8),"")</f>
        <v/>
      </c>
      <c r="R8" s="233" t="str">
        <f>IF(8=8,IF($B8="","",IF(TRIM($AA8)="fruits a coque","",IF(CL8="X","X",IF(OR(CL8="?",OR(ISNUMBER(SEARCH(" clamato ",$AA8)),ISNUMBER(SEARCH(" bloody caesar ",$AA8)))),"?","")))),"")</f>
        <v/>
      </c>
      <c r="S8" s="234" t="str">
        <f>IF(8=8,IF($B8="","",IF(E8="?",""&amp;"Céréales contenant du gluten","")&amp;IF(F8="?",IF(COUNTIF($E8:$E8,"~?")&gt;0,", ","")&amp;"Crustacés","")&amp;IF(G8="?",IF(COUNTIF($E8:$F8,"~?")&gt;0,", ","")&amp;"Œufs","")&amp;IF(H8="?",IF(COUNTIF($E8:$G8,"~?")&gt;0,", ","")&amp;"Poissons","")&amp;IF(I8="?",IF(COUNTIF($E8:$H8,"~?")&gt;0,", ","")&amp;"Arachides","")&amp;IF(J8="?",IF(COUNTIF($E8:$I8,"~?")&gt;0,", ","")&amp;"Soja","")&amp;IF(K8="?",IF(COUNTIF($E8:$J8,"~?")&gt;0,", ","")&amp;"Lait","")&amp;IF(L8="?",IF(COUNTIF($E8:$K8,"~?")&gt;0,", ","")&amp;"Fruits à coque","")&amp;IF(M8="?",IF(COUNTIF($E8:$L8,"~?")&gt;0,", ","")&amp;"Céleri","")&amp;IF(N8="?",IF(COUNTIF($E8:$M8,"~?")&gt;0,", ","")&amp;"Moutarde","")&amp;IF(O8="?",IF(COUNTIF($E8:$N8,"~?")&gt;0,", ","")&amp;"Sésame","")&amp;IF(P8="?",IF(COUNTIF($E8:$O8,"~?")&gt;0,", ","")&amp;"Sulfites","")&amp;IF(Q8="?",IF(COUNTIF($E8:$P8,"~?")&gt;0,", ","")&amp;"Lupin","")&amp;IF(R8="?",IF(COUNTIF($E8:$Q8,"~?")&gt;0,", ","")&amp;"Mollusques","")),"")</f>
        <v/>
      </c>
      <c r="U8" s="209" t="str">
        <f>IF(8=8,IF($B8="","",$B8),"")</f>
        <v>Crème liquide / crème fraîche</v>
      </c>
      <c r="V8" s="209" t="str">
        <f>IF(8=8,LOWER(CLEAN(SUBSTITUTE(SUBSTITUTE(SUBSTITUTE(SUBSTITUTE($U8,CHAR(160)," ")," "," "),CHAR(10)," "),CHAR(13)," "))),"")</f>
        <v>crème liquide / crème fraîche</v>
      </c>
      <c r="W8" s="209" t="str">
        <f>IF(8=8,SUBSTITUTE(SUBSTITUTE(SUBSTITUTE(SUBSTITUTE(SUBSTITUTE(SUBSTITUTE(SUBSTITUTE(SUBSTITUTE(SUBSTITUTE(SUBSTITUTE(SUBSTITUTE(SUBSTITUTE($V8,"œ","oe"),"æ","ae"),"à","a"),"á","a"),"â","a"),"ä","a"),"ã","a"),"ç","c"),"è","e"),"é","e"),"ê","e"),"ë","e"),"")</f>
        <v>creme liquide / creme fraîche</v>
      </c>
      <c r="X8" s="209" t="str">
        <f>IF(8=8,SUBSTITUTE(SUBSTITUTE(SUBSTITUTE(SUBSTITUTE(SUBSTITUTE(SUBSTITUTE(SUBSTITUTE(SUBSTITUTE(SUBSTITUTE(SUBSTITUTE(SUBSTITUTE(SUBSTITUTE(SUBSTITUTE(SUBSTITUTE(SUBSTITUTE(SUBSTITUTE($W8,"ì","i"),"í","i"),"î","i"),"ï","i"),"ñ","n"),"ò","o"),"ó","o"),"ô","o"),"ö","o"),"õ","o"),"ù","u"),"ú","u"),"û","u"),"ü","u"),"ý","y"),"ÿ","y"),"")</f>
        <v>creme liquide / creme fraiche</v>
      </c>
      <c r="Y8" s="209" t="str">
        <f>IF(8=8,SUBSTITUTE(SUBSTITUTE(SUBSTITUTE(SUBSTITUTE(SUBSTITUTE(SUBSTITUTE(SUBSTITUTE(SUBSTITUTE(SUBSTITUTE(SUBSTITUTE(SUBSTITUTE(SUBSTITUTE(SUBSTITUTE(SUBSTITUTE($X8,"’"," "),"`"," "),"–"," "),"—"," "),"-"," "),"'"," "),"/"," "),"_"," "),","," "),"."," "),"("," "),")"," "),";"," "),":"," "),"")</f>
        <v>creme liquide   creme fraiche</v>
      </c>
      <c r="Z8" s="209" t="str">
        <f>IF(8=8,SUBSTITUTE(SUBSTITUTE(SUBSTITUTE(SUBSTITUTE(SUBSTITUTE(SUBSTITUTE(SUBSTITUTE(SUBSTITUTE(SUBSTITUTE(SUBSTITUTE(SUBSTITUTE(SUBSTITUTE(SUBSTITUTE(SUBSTITUTE(SUBSTITUTE($Y8,"!"," "),"?"," "),"+"," "),"*"," "),"&amp;"," "),"["," "),"]"," "),"{"," "),"}"," "),"%"," "),"="," "),"\"," "),"|"," "),"&lt;"," "),"&gt;"," "),"")</f>
        <v>creme liquide   creme fraiche</v>
      </c>
      <c r="AA8" s="209" t="str">
        <f>IF(8=8," "&amp;TRIM(SUBSTITUTE(SUBSTITUTE(SUBSTITUTE(SUBSTITUTE(SUBSTITUTE(SUBSTITUTE($Z8,CHAR(34)," "),"  "," "),"  "," "),"  "," "),"  "," "),"  "," "))&amp;" ","")</f>
        <v xml:space="preserve"> creme liquide creme fraiche </v>
      </c>
      <c r="AB8" s="209">
        <f>IF(8=8,IF($U8="","",SUMPRODUCT(--ISNUMBER(SEARCH(" "&amp;$CR$2:$CR$101&amp;" ",$AD8)))),"")</f>
        <v>0</v>
      </c>
      <c r="AC8" s="209">
        <f>IF(8=8,IF($U8="","",SUMPRODUCT(--ISNUMBER(SEARCH(" "&amp;$CR$102:$CR$151&amp;" ",$AD8)))),"")</f>
        <v>0</v>
      </c>
      <c r="AD8" s="209" t="str">
        <f t="shared" si="1"/>
        <v xml:space="preserve"> creme liquide creme fraiche </v>
      </c>
      <c r="AE8" s="209">
        <f t="shared" si="2"/>
        <v>0</v>
      </c>
      <c r="AF8" s="209" t="str">
        <f>IF(8=8,IF($U8="","",IF(SUM(AB8:AC8)+SUMPRODUCT(--ISNUMBER(SEARCH(" "&amp;$CR$2418:$CR$2420&amp;" ",$AD8)))&gt;0,"X",IF(AE8&gt;0,"?",""))),"")</f>
        <v/>
      </c>
      <c r="AG8" s="209">
        <f>IF(8=8,IF($U8="","",SUMPRODUCT(--ISNUMBER(SEARCH(" "&amp;$CR$206:$CR$305&amp;" ",$AA8)))),"")</f>
        <v>0</v>
      </c>
      <c r="AH8" s="209">
        <f>IF(8=8,IF($U8="","",SUMPRODUCT(--ISNUMBER(SEARCH(" "&amp;$CR$306:$CR$340&amp;" ",$AA8)))),"")</f>
        <v>0</v>
      </c>
      <c r="AI8" s="209" t="str">
        <f>IF(8=8,IF($U8="","",IF((SUM(AG8:AH8))-(0)&gt;0,"X",IF((0)-(0)&gt;0,"?",""))),"")</f>
        <v/>
      </c>
      <c r="AJ8" s="209">
        <f>IF(8=8,IF($U8="","",SUMPRODUCT(--ISNUMBER(SEARCH(" "&amp;$CR$341:$CR$398&amp;" ",$AA8)))),"")</f>
        <v>0</v>
      </c>
      <c r="AK8" s="209">
        <f>IF(8=8,IF($U8="","",SUMPRODUCT(--ISNUMBER(SEARCH(" "&amp;$CR$399:$CR$426&amp;" ",$AL8)))+SUMPRODUCT(--ISNUMBER(SEARCH(" "&amp;$CR$2440:$CR$2453&amp;" ",$AL8)))),"")</f>
        <v>0</v>
      </c>
      <c r="AL8" s="209" t="str">
        <f>IF(8=8,IF($U8="","",SUBSTITUTE(SUBSTITUTE(SUBSTITUTE(SUBSTITUTE(SUBSTITUTE(SUBSTITUTE(SUBSTITUTE(SUBSTITUTE(SUBSTITUTE(SUBSTITUTE(SUBSTITUTE(SUBSTITUTE(SUBSTITUTE(SUBSTITUTE($AA8,"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creme liquide creme fraiche </v>
      </c>
      <c r="AM8" s="209" t="str">
        <f>IF(8=8,IF($U8="","",IF(AJ8&gt;0,"X",IF(AK8&gt;0,"?",""))),"")</f>
        <v/>
      </c>
      <c r="AN8" s="209">
        <f>IF(8=8,IF($U8="","",SUMPRODUCT(--ISNUMBER(SEARCH(" "&amp;$CR$436:$CR$535&amp;" ",$AX8)))),"")</f>
        <v>0</v>
      </c>
      <c r="AO8" s="209">
        <f>IF(8=8,IF($U8="","",SUMPRODUCT(--ISNUMBER(SEARCH(" "&amp;$CR$536:$CR$635&amp;" ",$AX8)))),"")</f>
        <v>0</v>
      </c>
      <c r="AP8" s="209">
        <f>IF(8=8,IF($U8="","",SUMPRODUCT(--ISNUMBER(SEARCH(" "&amp;$CR$636:$CR$735&amp;" ",$AX8)))),"")</f>
        <v>0</v>
      </c>
      <c r="AQ8" s="209">
        <f>IF(8=8,IF($U8="","",SUMPRODUCT(--ISNUMBER(SEARCH(" "&amp;$CR$736:$CR$835&amp;" ",$AX8)))),"")</f>
        <v>0</v>
      </c>
      <c r="AR8" s="209">
        <f>IF(8=8,IF($U8="","",SUMPRODUCT(--ISNUMBER(SEARCH(" "&amp;$CR$836:$CR$935&amp;" ",$AX8)))),"")</f>
        <v>0</v>
      </c>
      <c r="AS8" s="209">
        <f>IF(8=8,IF($U8="","",SUMPRODUCT(--ISNUMBER(SEARCH(" "&amp;$CR$936:$CR$1035&amp;" ",$AX8)))),"")</f>
        <v>0</v>
      </c>
      <c r="AT8" s="209">
        <f>IF(8=8,IF($U8="","",SUMPRODUCT(--ISNUMBER(SEARCH(" "&amp;$CR$1036:$CR$1135&amp;" ",$AX8)))),"")</f>
        <v>0</v>
      </c>
      <c r="AU8" s="209">
        <f>IF(8=8,IF($U8="","",SUMPRODUCT(--ISNUMBER(SEARCH(" "&amp;$CR$1136:$CR$1235&amp;" ",$AX8)))),"")</f>
        <v>0</v>
      </c>
      <c r="AV8" s="209">
        <f>IF(8=8,IF($U8="","",SUMPRODUCT(--ISNUMBER(SEARCH(" "&amp;$CR$1236:$CR$1335&amp;" ",$AX8)))),"")</f>
        <v>0</v>
      </c>
      <c r="AW8" s="209">
        <f>IF(8=8,IF($U8="","",SUMPRODUCT(--ISNUMBER(SEARCH(" "&amp;$CR$1336:$CR$1363&amp;" ",$AX8)))),"")</f>
        <v>0</v>
      </c>
      <c r="AX8" s="209" t="str">
        <f>IF(8=8,IF($U8="","",SUBSTITUTE(SUBSTITUTE(SUBSTITUTE(SUBSTITUTE(SUBSTITUTE(SUBSTITUTE(SUBSTITUTE(SUBSTITUTE(SUBSTITUTE($AA8,"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creme liquide creme fraiche </v>
      </c>
      <c r="AY8" s="209">
        <f>IF(8=8,IF($U8="","",SUMPRODUCT(--ISNUMBER(SEARCH(" "&amp;$CR$1373:$CR$1383&amp;" ",$AX8)))),"")</f>
        <v>0</v>
      </c>
      <c r="AZ8" s="209" t="str">
        <f>IF(8=8,IF($U8="","",IF(SUM(AN8:AW8)+SUMPRODUCT(--ISNUMBER(SEARCH(" "&amp;$CR$2421:$CR$2422&amp;" ",$AX8)))&gt;0,"X",IF(AY8&gt;0,"?",""))),"")</f>
        <v/>
      </c>
      <c r="BA8" s="209">
        <f>IF(8=8,IF($U8="","",SUMPRODUCT(--ISNUMBER(SEARCH(" "&amp;$CR$1384:$CR$1404&amp;" ",$AA8)))),"")</f>
        <v>0</v>
      </c>
      <c r="BB8" s="209" t="str">
        <f>IF(8=8,IF($U8="","",IF((BA8)-(0)&gt;0,"X",IF((0)-(0)&gt;0,"?",""))),"")</f>
        <v/>
      </c>
      <c r="BC8" s="209">
        <f>IF(8=8,IF($U8="","",SUMPRODUCT(--ISNUMBER(SEARCH(" "&amp;$CR$1405:$CR$1442&amp;" ",$BD8)))),"")</f>
        <v>0</v>
      </c>
      <c r="BD8" s="209" t="str">
        <f>IF(8=8,IF($U8="","",SUBSTITUTE(SUBSTITUTE($AA8," "&amp;$CR$1443&amp;" "," ")," "&amp;$CR$1444&amp;" "," ")),"")</f>
        <v xml:space="preserve"> creme liquide creme fraiche </v>
      </c>
      <c r="BE8" s="209">
        <f>IF(8=8,IF($U8="","",SUMPRODUCT(--ISNUMBER(SEARCH(" "&amp;$CR$1445:$CR$1455&amp;" ",$BD8)))),"")</f>
        <v>0</v>
      </c>
      <c r="BF8" s="209" t="str">
        <f>IF(8=8,IF($U8="","",IF(BC8&gt;0,"X",IF(BE8&gt;0,"?",""))),"")</f>
        <v/>
      </c>
      <c r="BG8" s="209">
        <f>IF(8=8,IF($U8="","",SUMPRODUCT(--ISNUMBER(SEARCH(" "&amp;$CR$1456:$CR$1555&amp;" ",$BJ8)))),"")</f>
        <v>3</v>
      </c>
      <c r="BH8" s="209">
        <f>IF(8=8,IF($U8="","",SUMPRODUCT(--ISNUMBER(SEARCH(" "&amp;$CR$1556:$CR$1655&amp;" ",$BJ8)))),"")</f>
        <v>0</v>
      </c>
      <c r="BI8" s="209">
        <f>IF(8=8,IF($U8="","",SUMPRODUCT(--ISNUMBER(SEARCH(" "&amp;$CR$1656:$CR$1739&amp;" ",$BJ8)))),"")</f>
        <v>0</v>
      </c>
      <c r="BJ8" s="209" t="str">
        <f>IF(8=8,IF($U8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8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creme liquide creme fraiche </v>
      </c>
      <c r="BK8" s="209">
        <f>IF(8=8,IF($U8="","",SUMPRODUCT(--ISNUMBER(SEARCH(" "&amp;$CR$1790:$CR$1869&amp;" ",$BL8)))+SUMPRODUCT(--ISNUMBER(SEARCH(" "&amp;$CR$2440:$CR$2453&amp;" ",$BL8)))),"")</f>
        <v>0</v>
      </c>
      <c r="BL8" s="209" t="str">
        <f>IF(8=8,IF($U8="","",SUBSTITUTE(SUBSTITUTE(SUBSTITUTE(SUBSTITUTE(SUBSTITUTE(SUBSTITUTE(SUBSTITUTE(SUBSTITUTE(SUBSTITUTE(SUBSTITUTE(SUBSTITUTE(SUBSTITUTE(SUBSTITUTE($BJ8,"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creme liquide creme fraiche </v>
      </c>
      <c r="BM8" s="209" t="str">
        <f>IF(8=8,IF($U8="","",IF(SUM(BG8:BI8)+SUMPRODUCT(--ISNUMBER(SEARCH(" "&amp;$CR$2423:$CR$2424&amp;" ",$BJ8)))&gt;0,"X",IF(BK8&gt;0,"?",""))),"")</f>
        <v>X</v>
      </c>
      <c r="BN8" s="209">
        <f>IF(8=8,IF($U8="","",SUMPRODUCT(--ISNUMBER(SEARCH(" "&amp;$CR$1879:$CR$1936&amp;" ",$BO8)))),"")</f>
        <v>0</v>
      </c>
      <c r="BO8" s="209" t="str">
        <f>IF(8=8,IF($U8="","",SUBSTITUTE(SUBSTITUTE(SUBSTITUTE(SUBSTITUTE(SUBSTITUTE(SUBSTITUTE(SUBSTITUTE(SUBSTITUTE(SUBSTITUTE(SUBSTITUTE(SUBSTITUTE(SUBSTITUTE(SUBSTITUTE(SUBSTITUTE(SUBSTITUTE(SUBSTITUTE(SUBSTITUTE(SUBSTITUTE(SUBSTITUTE(SUBSTITUTE(SUBSTITUTE(SUBSTITUTE(SUBSTITUTE($AA8,"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creme liquide creme fraiche </v>
      </c>
      <c r="BP8" s="209">
        <f>IF(8=8,IF($U8="","",SUMPRODUCT(--ISNUMBER(SEARCH(" "&amp;$CR$1960:$CR$1976&amp;" ",$BO8)))),"")</f>
        <v>0</v>
      </c>
      <c r="BQ8" s="209" t="str">
        <f>IF(8=8,IF($U8="","",IF(BN8&gt;0,"X",IF(BP8&gt;0,"?",""))),"")</f>
        <v/>
      </c>
      <c r="BR8" s="209">
        <f>IF(8=8,IF($U8="","",SUMPRODUCT(--ISNUMBER(SEARCH(" "&amp;$CR$1977:$CR$1990&amp;" ",$AA8)))),"")</f>
        <v>0</v>
      </c>
      <c r="BS8" s="209">
        <f>IF(8=8,IF($U8="","",SUMPRODUCT(--ISNUMBER(SEARCH(" "&amp;$CR$1991:$CR$2005&amp;" ",$AA8)))),"")</f>
        <v>0</v>
      </c>
      <c r="BT8" s="209" t="str">
        <f>IF(8=8,IF($U8="","",IF((BR8)-(0)&gt;0,"X",IF((BS8)-(0)&gt;0,"?",""))),"")</f>
        <v/>
      </c>
      <c r="BU8" s="209">
        <f>IF(8=8,IF($U8="","",SUMPRODUCT(--ISNUMBER(SEARCH(" "&amp;$CR$2006:$CR$2023&amp;" ",$AA8)))),"")</f>
        <v>0</v>
      </c>
      <c r="BV8" s="209">
        <f>IF(8=8,IF($U8="","",SUMPRODUCT(--ISNUMBER(SEARCH(" "&amp;$CR$2024:$CR$2038&amp;" ",$AA8)))),"")</f>
        <v>0</v>
      </c>
      <c r="BW8" s="209" t="str">
        <f>IF(8=8,IF($U8="","",IF((BU8)-(0)&gt;0,"X",IF((BV8)-(0)&gt;0,"?",""))),"")</f>
        <v/>
      </c>
      <c r="BX8" s="209">
        <f>IF(8=8,IF($U8="","",SUMPRODUCT(--ISNUMBER(SEARCH(" "&amp;$CR$2039:$CR$2057&amp;" ",$AA8)))),"")</f>
        <v>0</v>
      </c>
      <c r="BY8" s="209">
        <f>IF(8=8,IF($U8="","",SUMPRODUCT(--ISNUMBER(SEARCH(" "&amp;$CR$2058:$CR$2072&amp;" ",$AA8)))),"")</f>
        <v>0</v>
      </c>
      <c r="BZ8" s="209" t="str">
        <f>IF(8=8,IF($U8="","",IF((BX8)-(0)&gt;0,"X",IF((BY8)-(0)&gt;0,"?",""))),"")</f>
        <v/>
      </c>
      <c r="CA8" s="209">
        <f>IF(8=8,IF($U8="","",SUMPRODUCT(--ISNUMBER(SEARCH(" "&amp;$CR$2073:$CR$2093&amp;" ",$AA8)))),"")</f>
        <v>0</v>
      </c>
      <c r="CB8" s="209">
        <f>IF(8=8,IF($U8="","",SUMPRODUCT(--ISNUMBER(SEARCH(" "&amp;$CR$2094:$CR$2133&amp;" ",SUBSTITUTE(SUBSTITUTE($AA8," "&amp;$CR$1367&amp;" "," ")," "&amp;$CR$1366&amp;" "," "))))+--ISNUMBER(SEARCH("poiré",$V8))),"")</f>
        <v>0</v>
      </c>
      <c r="CC8" s="209" t="str">
        <f>IF(8=8,IF($U8="","",IF(OR(CA8&gt;0,ISNUMBER(SEARCH(" vinaigre de vin ",$AA8)),ISNUMBER(SEARCH(" vinaigre au vin ",$AA8))),"X",IF(CB8&gt;0,"?",""))),"")</f>
        <v/>
      </c>
      <c r="CD8" s="209">
        <f>IF(8=8,IF($U8="","",SUMPRODUCT(--ISNUMBER(SEARCH(" "&amp;$CR$2134:$CR$2146&amp;" ",$AA8)))),"")</f>
        <v>0</v>
      </c>
      <c r="CE8" s="209">
        <f>IF(8=8,IF($U8="","",SUMPRODUCT(--ISNUMBER(SEARCH(" "&amp;$CR$2147:$CR$2152&amp;" ",$AA8)))),"")</f>
        <v>0</v>
      </c>
      <c r="CF8" s="209" t="str">
        <f>IF(8=8,IF($U8="","",IF((CD8)-(0)&gt;0,"X",IF((CE8)-(0)&gt;0,"?",""))),"")</f>
        <v/>
      </c>
      <c r="CG8" s="209">
        <f>IF(8=8,IF($U8="","",SUMPRODUCT(--ISNUMBER(SEARCH(" "&amp;$CR$2153:$CR$2252&amp;" ",$CJ8)))),"")</f>
        <v>0</v>
      </c>
      <c r="CH8" s="209">
        <f>IF(8=8,IF($U8="","",SUMPRODUCT(--ISNUMBER(SEARCH(" "&amp;$CR$2253:$CR$2352&amp;" ",$CJ8)))),"")</f>
        <v>0</v>
      </c>
      <c r="CI8" s="209">
        <f>IF(8=8,IF($U8="","",SUMPRODUCT(--ISNUMBER(SEARCH(" "&amp;$CR$2353:$CR$2395&amp;" ",$CJ8)))),"")</f>
        <v>0</v>
      </c>
      <c r="CJ8" s="209" t="str">
        <f>IF(8=8,IF($U8="","",SUBSTITUTE(SUBSTITUTE(SUBSTITUTE(SUBSTITUTE(SUBSTITUTE(SUBSTITUTE(SUBSTITUTE(SUBSTITUTE(SUBSTITUTE(SUBSTITUTE(SUBSTITUTE(SUBSTITUTE(SUBSTITUTE(SUBSTITUTE(SUBSTITUTE(SUBSTITUTE($AA8,"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creme liquide creme fraiche </v>
      </c>
      <c r="CK8" s="209">
        <f>IF(8=8,IF($U8="","",SUMPRODUCT(--ISNUMBER(SEARCH(" "&amp;$CR$2412:$CR$2416&amp;" ",$CJ8)))),"")</f>
        <v>0</v>
      </c>
      <c r="CL8" s="209" t="str">
        <f>IF(8=8,IF($U8="","",IF(SUM(CG8:CI8)&gt;0,"X",IF(CK8&gt;0,"?",""))),"")</f>
        <v/>
      </c>
      <c r="CM8" s="210"/>
      <c r="CN8" s="213" t="s">
        <v>977</v>
      </c>
      <c r="CO8" s="213" t="s">
        <v>878</v>
      </c>
      <c r="CP8" s="213" t="s">
        <v>879</v>
      </c>
      <c r="CQ8" s="213" t="s">
        <v>978</v>
      </c>
      <c r="CR8" s="213" t="s">
        <v>979</v>
      </c>
      <c r="CS8" s="213" t="s">
        <v>881</v>
      </c>
      <c r="CT8" s="213" t="s">
        <v>882</v>
      </c>
      <c r="CU8" s="213" t="s">
        <v>883</v>
      </c>
      <c r="CV8" s="214" t="s">
        <v>884</v>
      </c>
      <c r="CX8" s="212">
        <v>1</v>
      </c>
    </row>
    <row r="9" spans="1:102" ht="21" customHeight="1">
      <c r="A9" s="229">
        <v>3</v>
      </c>
      <c r="B9" s="230" t="s">
        <v>6436</v>
      </c>
      <c r="C9" s="231" t="str">
        <f t="shared" si="0"/>
        <v>Chantilly / crème fouettée *</v>
      </c>
      <c r="D9" s="232" t="str">
        <f>IF(9=9,IF($B9="","",IF(E9="X",""&amp;"Céréales contenant du gluten","")&amp;IF(F9="X",IF(COUNTIF($E9:$E9,"X")&gt;0,", ","")&amp;"Crustacés","")&amp;IF(G9="X",IF(COUNTIF($E9:$F9,"X")&gt;0,", ","")&amp;"Œufs","")&amp;IF(H9="X",IF(COUNTIF($E9:$G9,"X")&gt;0,", ","")&amp;"Poissons","")&amp;IF(I9="X",IF(COUNTIF($E9:$H9,"X")&gt;0,", ","")&amp;"Arachides","")&amp;IF(J9="X",IF(COUNTIF($E9:$I9,"X")&gt;0,", ","")&amp;"Soja","")&amp;IF(K9="X",IF(COUNTIF($E9:$J9,"X")&gt;0,", ","")&amp;"Lait","")&amp;IF(L9="X",IF(COUNTIF($E9:$K9,"X")&gt;0,", ","")&amp;"Fruits à coque","")&amp;IF(M9="X",IF(COUNTIF($E9:$L9,"X")&gt;0,", ","")&amp;"Céleri","")&amp;IF(N9="X",IF(COUNTIF($E9:$M9,"X")&gt;0,", ","")&amp;"Moutarde","")&amp;IF(O9="X",IF(COUNTIF($E9:$N9,"X")&gt;0,", ","")&amp;"Sésame","")&amp;IF(P9="X",IF(COUNTIF($E9:$O9,"X")&gt;0,", ","")&amp;"Sulfites","")&amp;IF(Q9="X",IF(COUNTIF($E9:$P9,"X")&gt;0,", ","")&amp;"Lupin","")&amp;IF(R9="X",IF(COUNTIF($E9:$Q9,"X")&gt;0,", ","")&amp;"Mollusques","")),"")</f>
        <v>Lait</v>
      </c>
      <c r="E9" s="233" t="str">
        <f>IF(9=9,IF($B9="","",IF(OR(ISNUMBER(SEARCH(" biere sans gluten ",$AA9)),ISNUMBER(SEARCH(" gluten free beer ",$AA9)),ISNUMBER(SEARCH(" beer gluten free ",$AA9))),"",IF(AF9="X","X",IF(OR(AF9="?",OR(ISNUMBER(SEARCH(" worcestershire ",$AA9)),ISNUMBER(SEARCH(" bloody mary ",$AA9)))),"?","")))),"")</f>
        <v/>
      </c>
      <c r="F9" s="233" t="str">
        <f>IF(9=9,IF($B9="","",AI9),"")</f>
        <v/>
      </c>
      <c r="G9" s="233" t="str">
        <f>IF(9=9,IF($B9="","",IF(OR(TRIM($AA9)="puree pate d amande",TRIM($AA9)="pate puree d amande",TRIM($AA9)="puree d amande",TRIM($AA9)="pate d amande",TRIM($AA9)="pate puree de noisette",TRIM($AA9)="puree pate de noisette",TRIM($AA9)="puree de noisette",TRIM($AA9)="pate de noisette"),"",IF(OR(AM9="X",OR(ISNUMBER(SEARCH(" macaron ",$AA9)),ISNUMBER(SEARCH(" egg nog ",$AA9)),ISNUMBER(SEARCH(" eggnog ",$AA9)))),"X",IF(OR(AM9="?",OR(ISNUMBER(SEARCH(" biscuit decoratif ",$AA9)),ISNUMBER(SEARCH(" whisky sour ",$AA9)),ISNUMBER(SEARCH(" whiskey sour ",$AA9)),ISNUMBER(SEARCH(" amaretto sour ",$AA9)),ISNUMBER(SEARCH(" pisco sour ",$AA9)),ISNUMBER(SEARCH(" clover club ",$AA9)),ISNUMBER(SEARCH(" ramos gin fizz ",$AA9)))),"?","")))),"")</f>
        <v/>
      </c>
      <c r="H9" s="233" t="str">
        <f>IF(9=9,IF($B9="","",IF(ISNUMBER(SEARCH(" colin ",$AA9)),"X",IF(AZ9="X","X",IF(OR(AZ9="?",OR(ISNUMBER(SEARCH(" worcestershire ",$AA9)),ISNUMBER(SEARCH(" bloody mary ",$AA9)))),"?","")))),"")</f>
        <v/>
      </c>
      <c r="I9" s="233" t="str">
        <f>IF(9=9,IF($B9="","",BB9),"")</f>
        <v/>
      </c>
      <c r="J9" s="233" t="str">
        <f>IF(9=9,IF($B9="","",BF9),"")</f>
        <v/>
      </c>
      <c r="K9" s="233" t="str">
        <f>IF(9=9,IF($B9="","",IF(OR(OR(TRIM($AA9)="puree pate d amande",TRIM($AA9)="pate puree d amande",TRIM($AA9)="puree d amande",TRIM($AA9)="pate d amande",TRIM($AA9)="pate puree de noisette",TRIM($AA9)="puree pate de noisette",TRIM($AA9)="puree de noisette",TRIM($AA9)="pate de noisette"),OR(TRIM($AA9)="beurre puree d arachide",TRIM($AA9)="beurre d arachide",TRIM($AA9)="puree d arachide"),OR(TRIM($AA9)="tahini puree de sesame",TRIM($AA9)="tahini",TRIM($AA9)="puree de sesame")),"",IF(OR(TRIM($AA9)="creme de cassis",TRIM($AA9)="creme de menthe",TRIM($AA9)="creme de cacao",TRIM($AA9)="creme de mure",TRIM($AA9)="creme de framboise",TRIM($AA9)="creme de peche",TRIM($AA9)="creme de banane",TRIM($AA9)="liqueur creme de coco",TRIM($AA9)="creme de coco",TRIM($AA9)="spiritueux aromatise arrange creme de spiritueux"),"?",IF(OR(BM9="X",OR(ISNUMBER(SEARCH(" baileys ",$AA9)),ISNUMBER(SEARCH(" irish cream ",$AA9)),ISNUMBER(SEARCH(" creme de whisky ",$AA9)))),"X",IF(OR(BM9="?",OR(OR(TRIM($AA9)="creme de cassis",TRIM($AA9)="creme de menthe",TRIM($AA9)="creme de cacao",TRIM($AA9)="creme de mure",TRIM($AA9)="creme de framboise",TRIM($AA9)="creme de peche",TRIM($AA9)="creme de banane",TRIM($AA9)="liqueur creme de coco",TRIM($AA9)="creme de coco",TRIM($AA9)="spiritueux aromatise arrange creme de spiritueux"),ISNUMBER(SEARCH(" advocaat ",$AA9)),ISNUMBER(SEARCH(" liqueur aux oeufs ",$AA9)),ISNUMBER(SEARCH(" liqueur de chocolat ",$AA9)),ISNUMBER(SEARCH(" liqueur de caramel ",$AA9)),ISNUMBER(SEARCH(" sauce nappage chocolat ",$AA9)),ISNUMBER(SEARCH(" biscuit decoratif ",$AA9)),ISNUMBER(SEARCH(" white russian ",$AA9)),ISNUMBER(SEARCH(" grasshopper ",$AA9)),ISNUMBER(SEARCH(" irish coffee ",$AA9)),ISNUMBER(SEARCH(" ramos gin fizz ",$AA9)),ISNUMBER(SEARCH(" egg nog ",$AA9)),ISNUMBER(SEARCH(" eggnog ",$AA9)))),"?",""))))),"")</f>
        <v>X</v>
      </c>
      <c r="L9" s="233" t="str">
        <f>IF(9=9,IF($B9="","",IF(OR(BQ9="X",OR(OR(TRIM($AA9)="puree pate d amande",TRIM($AA9)="pate puree d amande",TRIM($AA9)="puree d amande",TRIM($AA9)="pate d amande",TRIM($AA9)="pate puree de noisette",TRIM($AA9)="puree pate de noisette",TRIM($AA9)="puree de noisette",TRIM($AA9)="pate de noisette"),ISNUMBER(SEARCH(" macaron ",$AA9)),TRIM($AA9)="fruits a coque")),"X",IF(OR(BQ9="?",OR(ISNUMBER(SEARCH(" sirop d orgeat ",$AA9)),ISNUMBER(SEARCH(" orgeat ",$AA9)),ISNUMBER(SEARCH(" amaretto ",$AA9)))),"?",""))),"")</f>
        <v/>
      </c>
      <c r="M9" s="233" t="str">
        <f>IF(9=9,IF($B9="","",IF(OR(OR(TRIM($AA9)="puree pate d amande",TRIM($AA9)="pate puree d amande",TRIM($AA9)="puree d amande",TRIM($AA9)="pate d amande",TRIM($AA9)="pate puree de noisette",TRIM($AA9)="puree pate de noisette",TRIM($AA9)="puree de noisette",TRIM($AA9)="pate de noisette"),OR(TRIM($AA9)="tahini puree de sesame",TRIM($AA9)="tahini",TRIM($AA9)="puree de sesame")),"",IF(BT9="X","X",IF(OR(BT9="?",ISNUMBER(SEARCH(" bloody mary ",$AA9))),"?","")))),"")</f>
        <v/>
      </c>
      <c r="N9" s="233" t="str">
        <f>IF(9=9,IF($B9="","",IF(OR(OR(TRIM($AA9)="puree pate d amande",TRIM($AA9)="pate puree d amande",TRIM($AA9)="puree d amande",TRIM($AA9)="pate d amande",TRIM($AA9)="pate puree de noisette",TRIM($AA9)="puree pate de noisette",TRIM($AA9)="puree de noisette",TRIM($AA9)="pate de noisette"),OR(TRIM($AA9)="tahini puree de sesame",TRIM($AA9)="tahini",TRIM($AA9)="puree de sesame")),"",IF(BW9="X","X",IF(OR(BW9="?",ISNUMBER(SEARCH(" bloody mary ",$AA9))),"?","")))),"")</f>
        <v/>
      </c>
      <c r="O9" s="233" t="str">
        <f>IF(9=9,IF($B9="","",BZ9),"")</f>
        <v/>
      </c>
      <c r="P9" s="233" t="str">
        <f>IF(9=9,IF($B9="","",CC9),"")</f>
        <v/>
      </c>
      <c r="Q9" s="233" t="str">
        <f>IF(9=9,IF($B9="","",CF9),"")</f>
        <v/>
      </c>
      <c r="R9" s="233" t="str">
        <f>IF(9=9,IF($B9="","",IF(TRIM($AA9)="fruits a coque","",IF(CL9="X","X",IF(OR(CL9="?",OR(ISNUMBER(SEARCH(" clamato ",$AA9)),ISNUMBER(SEARCH(" bloody caesar ",$AA9)))),"?","")))),"")</f>
        <v/>
      </c>
      <c r="S9" s="234" t="str">
        <f>IF(9=9,IF($B9="","",IF(E9="?",""&amp;"Céréales contenant du gluten","")&amp;IF(F9="?",IF(COUNTIF($E9:$E9,"~?")&gt;0,", ","")&amp;"Crustacés","")&amp;IF(G9="?",IF(COUNTIF($E9:$F9,"~?")&gt;0,", ","")&amp;"Œufs","")&amp;IF(H9="?",IF(COUNTIF($E9:$G9,"~?")&gt;0,", ","")&amp;"Poissons","")&amp;IF(I9="?",IF(COUNTIF($E9:$H9,"~?")&gt;0,", ","")&amp;"Arachides","")&amp;IF(J9="?",IF(COUNTIF($E9:$I9,"~?")&gt;0,", ","")&amp;"Soja","")&amp;IF(K9="?",IF(COUNTIF($E9:$J9,"~?")&gt;0,", ","")&amp;"Lait","")&amp;IF(L9="?",IF(COUNTIF($E9:$K9,"~?")&gt;0,", ","")&amp;"Fruits à coque","")&amp;IF(M9="?",IF(COUNTIF($E9:$L9,"~?")&gt;0,", ","")&amp;"Céleri","")&amp;IF(N9="?",IF(COUNTIF($E9:$M9,"~?")&gt;0,", ","")&amp;"Moutarde","")&amp;IF(O9="?",IF(COUNTIF($E9:$N9,"~?")&gt;0,", ","")&amp;"Sésame","")&amp;IF(P9="?",IF(COUNTIF($E9:$O9,"~?")&gt;0,", ","")&amp;"Sulfites","")&amp;IF(Q9="?",IF(COUNTIF($E9:$P9,"~?")&gt;0,", ","")&amp;"Lupin","")&amp;IF(R9="?",IF(COUNTIF($E9:$Q9,"~?")&gt;0,", ","")&amp;"Mollusques","")),"")</f>
        <v/>
      </c>
      <c r="U9" s="209" t="str">
        <f>IF(9=9,IF($B9="","",$B9),"")</f>
        <v>Chantilly / crème fouettée</v>
      </c>
      <c r="V9" s="209" t="str">
        <f>IF(9=9,LOWER(CLEAN(SUBSTITUTE(SUBSTITUTE(SUBSTITUTE(SUBSTITUTE($U9,CHAR(160)," ")," "," "),CHAR(10)," "),CHAR(13)," "))),"")</f>
        <v>chantilly / crème fouettée</v>
      </c>
      <c r="W9" s="209" t="str">
        <f>IF(9=9,SUBSTITUTE(SUBSTITUTE(SUBSTITUTE(SUBSTITUTE(SUBSTITUTE(SUBSTITUTE(SUBSTITUTE(SUBSTITUTE(SUBSTITUTE(SUBSTITUTE(SUBSTITUTE(SUBSTITUTE($V9,"œ","oe"),"æ","ae"),"à","a"),"á","a"),"â","a"),"ä","a"),"ã","a"),"ç","c"),"è","e"),"é","e"),"ê","e"),"ë","e"),"")</f>
        <v>chantilly / creme fouettee</v>
      </c>
      <c r="X9" s="209" t="str">
        <f>IF(9=9,SUBSTITUTE(SUBSTITUTE(SUBSTITUTE(SUBSTITUTE(SUBSTITUTE(SUBSTITUTE(SUBSTITUTE(SUBSTITUTE(SUBSTITUTE(SUBSTITUTE(SUBSTITUTE(SUBSTITUTE(SUBSTITUTE(SUBSTITUTE(SUBSTITUTE(SUBSTITUTE($W9,"ì","i"),"í","i"),"î","i"),"ï","i"),"ñ","n"),"ò","o"),"ó","o"),"ô","o"),"ö","o"),"õ","o"),"ù","u"),"ú","u"),"û","u"),"ü","u"),"ý","y"),"ÿ","y"),"")</f>
        <v>chantilly / creme fouettee</v>
      </c>
      <c r="Y9" s="209" t="str">
        <f>IF(9=9,SUBSTITUTE(SUBSTITUTE(SUBSTITUTE(SUBSTITUTE(SUBSTITUTE(SUBSTITUTE(SUBSTITUTE(SUBSTITUTE(SUBSTITUTE(SUBSTITUTE(SUBSTITUTE(SUBSTITUTE(SUBSTITUTE(SUBSTITUTE($X9,"’"," "),"`"," "),"–"," "),"—"," "),"-"," "),"'"," "),"/"," "),"_"," "),","," "),"."," "),"("," "),")"," "),";"," "),":"," "),"")</f>
        <v>chantilly   creme fouettee</v>
      </c>
      <c r="Z9" s="209" t="str">
        <f>IF(9=9,SUBSTITUTE(SUBSTITUTE(SUBSTITUTE(SUBSTITUTE(SUBSTITUTE(SUBSTITUTE(SUBSTITUTE(SUBSTITUTE(SUBSTITUTE(SUBSTITUTE(SUBSTITUTE(SUBSTITUTE(SUBSTITUTE(SUBSTITUTE(SUBSTITUTE($Y9,"!"," "),"?"," "),"+"," "),"*"," "),"&amp;"," "),"["," "),"]"," "),"{"," "),"}"," "),"%"," "),"="," "),"\"," "),"|"," "),"&lt;"," "),"&gt;"," "),"")</f>
        <v>chantilly   creme fouettee</v>
      </c>
      <c r="AA9" s="209" t="str">
        <f>IF(9=9," "&amp;TRIM(SUBSTITUTE(SUBSTITUTE(SUBSTITUTE(SUBSTITUTE(SUBSTITUTE(SUBSTITUTE($Z9,CHAR(34)," "),"  "," "),"  "," "),"  "," "),"  "," "),"  "," "))&amp;" ","")</f>
        <v xml:space="preserve"> chantilly creme fouettee </v>
      </c>
      <c r="AB9" s="209">
        <f>IF(9=9,IF($U9="","",SUMPRODUCT(--ISNUMBER(SEARCH(" "&amp;$CR$2:$CR$101&amp;" ",$AD9)))),"")</f>
        <v>0</v>
      </c>
      <c r="AC9" s="209">
        <f>IF(9=9,IF($U9="","",SUMPRODUCT(--ISNUMBER(SEARCH(" "&amp;$CR$102:$CR$151&amp;" ",$AD9)))),"")</f>
        <v>0</v>
      </c>
      <c r="AD9" s="209" t="str">
        <f t="shared" si="1"/>
        <v xml:space="preserve"> chantilly creme fouettee </v>
      </c>
      <c r="AE9" s="209">
        <f t="shared" si="2"/>
        <v>0</v>
      </c>
      <c r="AF9" s="209" t="str">
        <f>IF(9=9,IF($U9="","",IF(SUM(AB9:AC9)+SUMPRODUCT(--ISNUMBER(SEARCH(" "&amp;$CR$2418:$CR$2420&amp;" ",$AD9)))&gt;0,"X",IF(AE9&gt;0,"?",""))),"")</f>
        <v/>
      </c>
      <c r="AG9" s="209">
        <f>IF(9=9,IF($U9="","",SUMPRODUCT(--ISNUMBER(SEARCH(" "&amp;$CR$206:$CR$305&amp;" ",$AA9)))),"")</f>
        <v>0</v>
      </c>
      <c r="AH9" s="209">
        <f>IF(9=9,IF($U9="","",SUMPRODUCT(--ISNUMBER(SEARCH(" "&amp;$CR$306:$CR$340&amp;" ",$AA9)))),"")</f>
        <v>0</v>
      </c>
      <c r="AI9" s="209" t="str">
        <f>IF(9=9,IF($U9="","",IF((SUM(AG9:AH9))-(0)&gt;0,"X",IF((0)-(0)&gt;0,"?",""))),"")</f>
        <v/>
      </c>
      <c r="AJ9" s="209">
        <f>IF(9=9,IF($U9="","",SUMPRODUCT(--ISNUMBER(SEARCH(" "&amp;$CR$341:$CR$398&amp;" ",$AA9)))),"")</f>
        <v>0</v>
      </c>
      <c r="AK9" s="209">
        <f>IF(9=9,IF($U9="","",SUMPRODUCT(--ISNUMBER(SEARCH(" "&amp;$CR$399:$CR$426&amp;" ",$AL9)))+SUMPRODUCT(--ISNUMBER(SEARCH(" "&amp;$CR$2440:$CR$2453&amp;" ",$AL9)))),"")</f>
        <v>0</v>
      </c>
      <c r="AL9" s="209" t="str">
        <f>IF(9=9,IF($U9="","",SUBSTITUTE(SUBSTITUTE(SUBSTITUTE(SUBSTITUTE(SUBSTITUTE(SUBSTITUTE(SUBSTITUTE(SUBSTITUTE(SUBSTITUTE(SUBSTITUTE(SUBSTITUTE(SUBSTITUTE(SUBSTITUTE(SUBSTITUTE($AA9,"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chantilly creme fouettee </v>
      </c>
      <c r="AM9" s="209" t="str">
        <f>IF(9=9,IF($U9="","",IF(AJ9&gt;0,"X",IF(AK9&gt;0,"?",""))),"")</f>
        <v/>
      </c>
      <c r="AN9" s="209">
        <f>IF(9=9,IF($U9="","",SUMPRODUCT(--ISNUMBER(SEARCH(" "&amp;$CR$436:$CR$535&amp;" ",$AX9)))),"")</f>
        <v>0</v>
      </c>
      <c r="AO9" s="209">
        <f>IF(9=9,IF($U9="","",SUMPRODUCT(--ISNUMBER(SEARCH(" "&amp;$CR$536:$CR$635&amp;" ",$AX9)))),"")</f>
        <v>0</v>
      </c>
      <c r="AP9" s="209">
        <f>IF(9=9,IF($U9="","",SUMPRODUCT(--ISNUMBER(SEARCH(" "&amp;$CR$636:$CR$735&amp;" ",$AX9)))),"")</f>
        <v>0</v>
      </c>
      <c r="AQ9" s="209">
        <f>IF(9=9,IF($U9="","",SUMPRODUCT(--ISNUMBER(SEARCH(" "&amp;$CR$736:$CR$835&amp;" ",$AX9)))),"")</f>
        <v>0</v>
      </c>
      <c r="AR9" s="209">
        <f>IF(9=9,IF($U9="","",SUMPRODUCT(--ISNUMBER(SEARCH(" "&amp;$CR$836:$CR$935&amp;" ",$AX9)))),"")</f>
        <v>0</v>
      </c>
      <c r="AS9" s="209">
        <f>IF(9=9,IF($U9="","",SUMPRODUCT(--ISNUMBER(SEARCH(" "&amp;$CR$936:$CR$1035&amp;" ",$AX9)))),"")</f>
        <v>0</v>
      </c>
      <c r="AT9" s="209">
        <f>IF(9=9,IF($U9="","",SUMPRODUCT(--ISNUMBER(SEARCH(" "&amp;$CR$1036:$CR$1135&amp;" ",$AX9)))),"")</f>
        <v>0</v>
      </c>
      <c r="AU9" s="209">
        <f>IF(9=9,IF($U9="","",SUMPRODUCT(--ISNUMBER(SEARCH(" "&amp;$CR$1136:$CR$1235&amp;" ",$AX9)))),"")</f>
        <v>0</v>
      </c>
      <c r="AV9" s="209">
        <f>IF(9=9,IF($U9="","",SUMPRODUCT(--ISNUMBER(SEARCH(" "&amp;$CR$1236:$CR$1335&amp;" ",$AX9)))),"")</f>
        <v>0</v>
      </c>
      <c r="AW9" s="209">
        <f>IF(9=9,IF($U9="","",SUMPRODUCT(--ISNUMBER(SEARCH(" "&amp;$CR$1336:$CR$1363&amp;" ",$AX9)))),"")</f>
        <v>0</v>
      </c>
      <c r="AX9" s="209" t="str">
        <f>IF(9=9,IF($U9="","",SUBSTITUTE(SUBSTITUTE(SUBSTITUTE(SUBSTITUTE(SUBSTITUTE(SUBSTITUTE(SUBSTITUTE(SUBSTITUTE(SUBSTITUTE($AA9,"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chantilly creme fouettee </v>
      </c>
      <c r="AY9" s="209">
        <f>IF(9=9,IF($U9="","",SUMPRODUCT(--ISNUMBER(SEARCH(" "&amp;$CR$1373:$CR$1383&amp;" ",$AX9)))),"")</f>
        <v>0</v>
      </c>
      <c r="AZ9" s="209" t="str">
        <f>IF(9=9,IF($U9="","",IF(SUM(AN9:AW9)+SUMPRODUCT(--ISNUMBER(SEARCH(" "&amp;$CR$2421:$CR$2422&amp;" ",$AX9)))&gt;0,"X",IF(AY9&gt;0,"?",""))),"")</f>
        <v/>
      </c>
      <c r="BA9" s="209">
        <f>IF(9=9,IF($U9="","",SUMPRODUCT(--ISNUMBER(SEARCH(" "&amp;$CR$1384:$CR$1404&amp;" ",$AA9)))),"")</f>
        <v>0</v>
      </c>
      <c r="BB9" s="209" t="str">
        <f>IF(9=9,IF($U9="","",IF((BA9)-(0)&gt;0,"X",IF((0)-(0)&gt;0,"?",""))),"")</f>
        <v/>
      </c>
      <c r="BC9" s="209">
        <f>IF(9=9,IF($U9="","",SUMPRODUCT(--ISNUMBER(SEARCH(" "&amp;$CR$1405:$CR$1442&amp;" ",$BD9)))),"")</f>
        <v>0</v>
      </c>
      <c r="BD9" s="209" t="str">
        <f>IF(9=9,IF($U9="","",SUBSTITUTE(SUBSTITUTE($AA9," "&amp;$CR$1443&amp;" "," ")," "&amp;$CR$1444&amp;" "," ")),"")</f>
        <v xml:space="preserve"> chantilly creme fouettee </v>
      </c>
      <c r="BE9" s="209">
        <f>IF(9=9,IF($U9="","",SUMPRODUCT(--ISNUMBER(SEARCH(" "&amp;$CR$1445:$CR$1455&amp;" ",$BD9)))),"")</f>
        <v>0</v>
      </c>
      <c r="BF9" s="209" t="str">
        <f>IF(9=9,IF($U9="","",IF(BC9&gt;0,"X",IF(BE9&gt;0,"?",""))),"")</f>
        <v/>
      </c>
      <c r="BG9" s="209">
        <f>IF(9=9,IF($U9="","",SUMPRODUCT(--ISNUMBER(SEARCH(" "&amp;$CR$1456:$CR$1555&amp;" ",$BJ9)))),"")</f>
        <v>2</v>
      </c>
      <c r="BH9" s="209">
        <f>IF(9=9,IF($U9="","",SUMPRODUCT(--ISNUMBER(SEARCH(" "&amp;$CR$1556:$CR$1655&amp;" ",$BJ9)))),"")</f>
        <v>0</v>
      </c>
      <c r="BI9" s="209">
        <f>IF(9=9,IF($U9="","",SUMPRODUCT(--ISNUMBER(SEARCH(" "&amp;$CR$1656:$CR$1739&amp;" ",$BJ9)))),"")</f>
        <v>0</v>
      </c>
      <c r="BJ9" s="209" t="str">
        <f>IF(9=9,IF($U9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9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chantilly creme fouettee </v>
      </c>
      <c r="BK9" s="209">
        <f>IF(9=9,IF($U9="","",SUMPRODUCT(--ISNUMBER(SEARCH(" "&amp;$CR$1790:$CR$1869&amp;" ",$BL9)))+SUMPRODUCT(--ISNUMBER(SEARCH(" "&amp;$CR$2440:$CR$2453&amp;" ",$BL9)))),"")</f>
        <v>0</v>
      </c>
      <c r="BL9" s="209" t="str">
        <f>IF(9=9,IF($U9="","",SUBSTITUTE(SUBSTITUTE(SUBSTITUTE(SUBSTITUTE(SUBSTITUTE(SUBSTITUTE(SUBSTITUTE(SUBSTITUTE(SUBSTITUTE(SUBSTITUTE(SUBSTITUTE(SUBSTITUTE(SUBSTITUTE($BJ9,"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chantilly creme fouettee </v>
      </c>
      <c r="BM9" s="209" t="str">
        <f>IF(9=9,IF($U9="","",IF(SUM(BG9:BI9)+SUMPRODUCT(--ISNUMBER(SEARCH(" "&amp;$CR$2423:$CR$2424&amp;" ",$BJ9)))&gt;0,"X",IF(BK9&gt;0,"?",""))),"")</f>
        <v>X</v>
      </c>
      <c r="BN9" s="209">
        <f>IF(9=9,IF($U9="","",SUMPRODUCT(--ISNUMBER(SEARCH(" "&amp;$CR$1879:$CR$1936&amp;" ",$BO9)))),"")</f>
        <v>0</v>
      </c>
      <c r="BO9" s="209" t="str">
        <f>IF(9=9,IF($U9="","",SUBSTITUTE(SUBSTITUTE(SUBSTITUTE(SUBSTITUTE(SUBSTITUTE(SUBSTITUTE(SUBSTITUTE(SUBSTITUTE(SUBSTITUTE(SUBSTITUTE(SUBSTITUTE(SUBSTITUTE(SUBSTITUTE(SUBSTITUTE(SUBSTITUTE(SUBSTITUTE(SUBSTITUTE(SUBSTITUTE(SUBSTITUTE(SUBSTITUTE(SUBSTITUTE(SUBSTITUTE(SUBSTITUTE($AA9,"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chantilly creme fouettee </v>
      </c>
      <c r="BP9" s="209">
        <f>IF(9=9,IF($U9="","",SUMPRODUCT(--ISNUMBER(SEARCH(" "&amp;$CR$1960:$CR$1976&amp;" ",$BO9)))),"")</f>
        <v>0</v>
      </c>
      <c r="BQ9" s="209" t="str">
        <f>IF(9=9,IF($U9="","",IF(BN9&gt;0,"X",IF(BP9&gt;0,"?",""))),"")</f>
        <v/>
      </c>
      <c r="BR9" s="209">
        <f>IF(9=9,IF($U9="","",SUMPRODUCT(--ISNUMBER(SEARCH(" "&amp;$CR$1977:$CR$1990&amp;" ",$AA9)))),"")</f>
        <v>0</v>
      </c>
      <c r="BS9" s="209">
        <f>IF(9=9,IF($U9="","",SUMPRODUCT(--ISNUMBER(SEARCH(" "&amp;$CR$1991:$CR$2005&amp;" ",$AA9)))),"")</f>
        <v>0</v>
      </c>
      <c r="BT9" s="209" t="str">
        <f>IF(9=9,IF($U9="","",IF((BR9)-(0)&gt;0,"X",IF((BS9)-(0)&gt;0,"?",""))),"")</f>
        <v/>
      </c>
      <c r="BU9" s="209">
        <f>IF(9=9,IF($U9="","",SUMPRODUCT(--ISNUMBER(SEARCH(" "&amp;$CR$2006:$CR$2023&amp;" ",$AA9)))),"")</f>
        <v>0</v>
      </c>
      <c r="BV9" s="209">
        <f>IF(9=9,IF($U9="","",SUMPRODUCT(--ISNUMBER(SEARCH(" "&amp;$CR$2024:$CR$2038&amp;" ",$AA9)))),"")</f>
        <v>0</v>
      </c>
      <c r="BW9" s="209" t="str">
        <f>IF(9=9,IF($U9="","",IF((BU9)-(0)&gt;0,"X",IF((BV9)-(0)&gt;0,"?",""))),"")</f>
        <v/>
      </c>
      <c r="BX9" s="209">
        <f>IF(9=9,IF($U9="","",SUMPRODUCT(--ISNUMBER(SEARCH(" "&amp;$CR$2039:$CR$2057&amp;" ",$AA9)))),"")</f>
        <v>0</v>
      </c>
      <c r="BY9" s="209">
        <f>IF(9=9,IF($U9="","",SUMPRODUCT(--ISNUMBER(SEARCH(" "&amp;$CR$2058:$CR$2072&amp;" ",$AA9)))),"")</f>
        <v>0</v>
      </c>
      <c r="BZ9" s="209" t="str">
        <f>IF(9=9,IF($U9="","",IF((BX9)-(0)&gt;0,"X",IF((BY9)-(0)&gt;0,"?",""))),"")</f>
        <v/>
      </c>
      <c r="CA9" s="209">
        <f>IF(9=9,IF($U9="","",SUMPRODUCT(--ISNUMBER(SEARCH(" "&amp;$CR$2073:$CR$2093&amp;" ",$AA9)))),"")</f>
        <v>0</v>
      </c>
      <c r="CB9" s="209">
        <f>IF(9=9,IF($U9="","",SUMPRODUCT(--ISNUMBER(SEARCH(" "&amp;$CR$2094:$CR$2133&amp;" ",SUBSTITUTE(SUBSTITUTE($AA9," "&amp;$CR$1367&amp;" "," ")," "&amp;$CR$1366&amp;" "," "))))+--ISNUMBER(SEARCH("poiré",$V9))),"")</f>
        <v>0</v>
      </c>
      <c r="CC9" s="209" t="str">
        <f>IF(9=9,IF($U9="","",IF(OR(CA9&gt;0,ISNUMBER(SEARCH(" vinaigre de vin ",$AA9)),ISNUMBER(SEARCH(" vinaigre au vin ",$AA9))),"X",IF(CB9&gt;0,"?",""))),"")</f>
        <v/>
      </c>
      <c r="CD9" s="209">
        <f>IF(9=9,IF($U9="","",SUMPRODUCT(--ISNUMBER(SEARCH(" "&amp;$CR$2134:$CR$2146&amp;" ",$AA9)))),"")</f>
        <v>0</v>
      </c>
      <c r="CE9" s="209">
        <f>IF(9=9,IF($U9="","",SUMPRODUCT(--ISNUMBER(SEARCH(" "&amp;$CR$2147:$CR$2152&amp;" ",$AA9)))),"")</f>
        <v>0</v>
      </c>
      <c r="CF9" s="209" t="str">
        <f>IF(9=9,IF($U9="","",IF((CD9)-(0)&gt;0,"X",IF((CE9)-(0)&gt;0,"?",""))),"")</f>
        <v/>
      </c>
      <c r="CG9" s="209">
        <f>IF(9=9,IF($U9="","",SUMPRODUCT(--ISNUMBER(SEARCH(" "&amp;$CR$2153:$CR$2252&amp;" ",$CJ9)))),"")</f>
        <v>0</v>
      </c>
      <c r="CH9" s="209">
        <f>IF(9=9,IF($U9="","",SUMPRODUCT(--ISNUMBER(SEARCH(" "&amp;$CR$2253:$CR$2352&amp;" ",$CJ9)))),"")</f>
        <v>0</v>
      </c>
      <c r="CI9" s="209">
        <f>IF(9=9,IF($U9="","",SUMPRODUCT(--ISNUMBER(SEARCH(" "&amp;$CR$2353:$CR$2395&amp;" ",$CJ9)))),"")</f>
        <v>0</v>
      </c>
      <c r="CJ9" s="209" t="str">
        <f>IF(9=9,IF($U9="","",SUBSTITUTE(SUBSTITUTE(SUBSTITUTE(SUBSTITUTE(SUBSTITUTE(SUBSTITUTE(SUBSTITUTE(SUBSTITUTE(SUBSTITUTE(SUBSTITUTE(SUBSTITUTE(SUBSTITUTE(SUBSTITUTE(SUBSTITUTE(SUBSTITUTE(SUBSTITUTE($AA9,"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chantilly creme fouettee </v>
      </c>
      <c r="CK9" s="209">
        <f>IF(9=9,IF($U9="","",SUMPRODUCT(--ISNUMBER(SEARCH(" "&amp;$CR$2412:$CR$2416&amp;" ",$CJ9)))),"")</f>
        <v>0</v>
      </c>
      <c r="CL9" s="209" t="str">
        <f>IF(9=9,IF($U9="","",IF(SUM(CG9:CI9)&gt;0,"X",IF(CK9&gt;0,"?",""))),"")</f>
        <v/>
      </c>
      <c r="CM9" s="210"/>
      <c r="CN9" s="213" t="s">
        <v>980</v>
      </c>
      <c r="CO9" s="213" t="s">
        <v>878</v>
      </c>
      <c r="CP9" s="213" t="s">
        <v>879</v>
      </c>
      <c r="CQ9" s="213" t="s">
        <v>981</v>
      </c>
      <c r="CR9" s="213" t="s">
        <v>982</v>
      </c>
      <c r="CS9" s="213" t="s">
        <v>881</v>
      </c>
      <c r="CT9" s="213" t="s">
        <v>882</v>
      </c>
      <c r="CU9" s="213" t="s">
        <v>883</v>
      </c>
      <c r="CV9" s="214" t="s">
        <v>884</v>
      </c>
      <c r="CX9" s="212">
        <v>1</v>
      </c>
    </row>
    <row r="10" spans="1:102" ht="21" customHeight="1">
      <c r="A10" s="229">
        <v>4</v>
      </c>
      <c r="B10" s="230" t="s">
        <v>6441</v>
      </c>
      <c r="C10" s="231" t="str">
        <f t="shared" si="0"/>
        <v>Lait concentré *</v>
      </c>
      <c r="D10" s="232" t="str">
        <f>IF(10=10,IF($B10="","",IF(E10="X",""&amp;"Céréales contenant du gluten","")&amp;IF(F10="X",IF(COUNTIF($E10:$E10,"X")&gt;0,", ","")&amp;"Crustacés","")&amp;IF(G10="X",IF(COUNTIF($E10:$F10,"X")&gt;0,", ","")&amp;"Œufs","")&amp;IF(H10="X",IF(COUNTIF($E10:$G10,"X")&gt;0,", ","")&amp;"Poissons","")&amp;IF(I10="X",IF(COUNTIF($E10:$H10,"X")&gt;0,", ","")&amp;"Arachides","")&amp;IF(J10="X",IF(COUNTIF($E10:$I10,"X")&gt;0,", ","")&amp;"Soja","")&amp;IF(K10="X",IF(COUNTIF($E10:$J10,"X")&gt;0,", ","")&amp;"Lait","")&amp;IF(L10="X",IF(COUNTIF($E10:$K10,"X")&gt;0,", ","")&amp;"Fruits à coque","")&amp;IF(M10="X",IF(COUNTIF($E10:$L10,"X")&gt;0,", ","")&amp;"Céleri","")&amp;IF(N10="X",IF(COUNTIF($E10:$M10,"X")&gt;0,", ","")&amp;"Moutarde","")&amp;IF(O10="X",IF(COUNTIF($E10:$N10,"X")&gt;0,", ","")&amp;"Sésame","")&amp;IF(P10="X",IF(COUNTIF($E10:$O10,"X")&gt;0,", ","")&amp;"Sulfites","")&amp;IF(Q10="X",IF(COUNTIF($E10:$P10,"X")&gt;0,", ","")&amp;"Lupin","")&amp;IF(R10="X",IF(COUNTIF($E10:$Q10,"X")&gt;0,", ","")&amp;"Mollusques","")),"")</f>
        <v>Lait</v>
      </c>
      <c r="E10" s="233" t="str">
        <f>IF(10=10,IF($B10="","",IF(OR(ISNUMBER(SEARCH(" biere sans gluten ",$AA10)),ISNUMBER(SEARCH(" gluten free beer ",$AA10)),ISNUMBER(SEARCH(" beer gluten free ",$AA10))),"",IF(AF10="X","X",IF(OR(AF10="?",OR(ISNUMBER(SEARCH(" worcestershire ",$AA10)),ISNUMBER(SEARCH(" bloody mary ",$AA10)))),"?","")))),"")</f>
        <v/>
      </c>
      <c r="F10" s="233" t="str">
        <f>IF(10=10,IF($B10="","",AI10),"")</f>
        <v/>
      </c>
      <c r="G10" s="233" t="str">
        <f>IF(10=10,IF($B10="","",IF(OR(TRIM($AA10)="puree pate d amande",TRIM($AA10)="pate puree d amande",TRIM($AA10)="puree d amande",TRIM($AA10)="pate d amande",TRIM($AA10)="pate puree de noisette",TRIM($AA10)="puree pate de noisette",TRIM($AA10)="puree de noisette",TRIM($AA10)="pate de noisette"),"",IF(OR(AM10="X",OR(ISNUMBER(SEARCH(" macaron ",$AA10)),ISNUMBER(SEARCH(" egg nog ",$AA10)),ISNUMBER(SEARCH(" eggnog ",$AA10)))),"X",IF(OR(AM10="?",OR(ISNUMBER(SEARCH(" biscuit decoratif ",$AA10)),ISNUMBER(SEARCH(" whisky sour ",$AA10)),ISNUMBER(SEARCH(" whiskey sour ",$AA10)),ISNUMBER(SEARCH(" amaretto sour ",$AA10)),ISNUMBER(SEARCH(" pisco sour ",$AA10)),ISNUMBER(SEARCH(" clover club ",$AA10)),ISNUMBER(SEARCH(" ramos gin fizz ",$AA10)))),"?","")))),"")</f>
        <v/>
      </c>
      <c r="H10" s="233" t="str">
        <f>IF(10=10,IF($B10="","",IF(ISNUMBER(SEARCH(" colin ",$AA10)),"X",IF(AZ10="X","X",IF(OR(AZ10="?",OR(ISNUMBER(SEARCH(" worcestershire ",$AA10)),ISNUMBER(SEARCH(" bloody mary ",$AA10)))),"?","")))),"")</f>
        <v/>
      </c>
      <c r="I10" s="233" t="str">
        <f>IF(10=10,IF($B10="","",BB10),"")</f>
        <v/>
      </c>
      <c r="J10" s="233" t="str">
        <f>IF(10=10,IF($B10="","",BF10),"")</f>
        <v/>
      </c>
      <c r="K10" s="233" t="str">
        <f>IF(10=10,IF($B10="","",IF(OR(OR(TRIM($AA10)="puree pate d amande",TRIM($AA10)="pate puree d amande",TRIM($AA10)="puree d amande",TRIM($AA10)="pate d amande",TRIM($AA10)="pate puree de noisette",TRIM($AA10)="puree pate de noisette",TRIM($AA10)="puree de noisette",TRIM($AA10)="pate de noisette"),OR(TRIM($AA10)="beurre puree d arachide",TRIM($AA10)="beurre d arachide",TRIM($AA10)="puree d arachide"),OR(TRIM($AA10)="tahini puree de sesame",TRIM($AA10)="tahini",TRIM($AA10)="puree de sesame")),"",IF(OR(TRIM($AA10)="creme de cassis",TRIM($AA10)="creme de menthe",TRIM($AA10)="creme de cacao",TRIM($AA10)="creme de mure",TRIM($AA10)="creme de framboise",TRIM($AA10)="creme de peche",TRIM($AA10)="creme de banane",TRIM($AA10)="liqueur creme de coco",TRIM($AA10)="creme de coco",TRIM($AA10)="spiritueux aromatise arrange creme de spiritueux"),"?",IF(OR(BM10="X",OR(ISNUMBER(SEARCH(" baileys ",$AA10)),ISNUMBER(SEARCH(" irish cream ",$AA10)),ISNUMBER(SEARCH(" creme de whisky ",$AA10)))),"X",IF(OR(BM10="?",OR(OR(TRIM($AA10)="creme de cassis",TRIM($AA10)="creme de menthe",TRIM($AA10)="creme de cacao",TRIM($AA10)="creme de mure",TRIM($AA10)="creme de framboise",TRIM($AA10)="creme de peche",TRIM($AA10)="creme de banane",TRIM($AA10)="liqueur creme de coco",TRIM($AA10)="creme de coco",TRIM($AA10)="spiritueux aromatise arrange creme de spiritueux"),ISNUMBER(SEARCH(" advocaat ",$AA10)),ISNUMBER(SEARCH(" liqueur aux oeufs ",$AA10)),ISNUMBER(SEARCH(" liqueur de chocolat ",$AA10)),ISNUMBER(SEARCH(" liqueur de caramel ",$AA10)),ISNUMBER(SEARCH(" sauce nappage chocolat ",$AA10)),ISNUMBER(SEARCH(" biscuit decoratif ",$AA10)),ISNUMBER(SEARCH(" white russian ",$AA10)),ISNUMBER(SEARCH(" grasshopper ",$AA10)),ISNUMBER(SEARCH(" irish coffee ",$AA10)),ISNUMBER(SEARCH(" ramos gin fizz ",$AA10)),ISNUMBER(SEARCH(" egg nog ",$AA10)),ISNUMBER(SEARCH(" eggnog ",$AA10)))),"?",""))))),"")</f>
        <v>X</v>
      </c>
      <c r="L10" s="233" t="str">
        <f>IF(10=10,IF($B10="","",IF(OR(BQ10="X",OR(OR(TRIM($AA10)="puree pate d amande",TRIM($AA10)="pate puree d amande",TRIM($AA10)="puree d amande",TRIM($AA10)="pate d amande",TRIM($AA10)="pate puree de noisette",TRIM($AA10)="puree pate de noisette",TRIM($AA10)="puree de noisette",TRIM($AA10)="pate de noisette"),ISNUMBER(SEARCH(" macaron ",$AA10)),TRIM($AA10)="fruits a coque")),"X",IF(OR(BQ10="?",OR(ISNUMBER(SEARCH(" sirop d orgeat ",$AA10)),ISNUMBER(SEARCH(" orgeat ",$AA10)),ISNUMBER(SEARCH(" amaretto ",$AA10)))),"?",""))),"")</f>
        <v/>
      </c>
      <c r="M10" s="233" t="str">
        <f>IF(10=10,IF($B10="","",IF(OR(OR(TRIM($AA10)="puree pate d amande",TRIM($AA10)="pate puree d amande",TRIM($AA10)="puree d amande",TRIM($AA10)="pate d amande",TRIM($AA10)="pate puree de noisette",TRIM($AA10)="puree pate de noisette",TRIM($AA10)="puree de noisette",TRIM($AA10)="pate de noisette"),OR(TRIM($AA10)="tahini puree de sesame",TRIM($AA10)="tahini",TRIM($AA10)="puree de sesame")),"",IF(BT10="X","X",IF(OR(BT10="?",ISNUMBER(SEARCH(" bloody mary ",$AA10))),"?","")))),"")</f>
        <v/>
      </c>
      <c r="N10" s="233" t="str">
        <f>IF(10=10,IF($B10="","",IF(OR(OR(TRIM($AA10)="puree pate d amande",TRIM($AA10)="pate puree d amande",TRIM($AA10)="puree d amande",TRIM($AA10)="pate d amande",TRIM($AA10)="pate puree de noisette",TRIM($AA10)="puree pate de noisette",TRIM($AA10)="puree de noisette",TRIM($AA10)="pate de noisette"),OR(TRIM($AA10)="tahini puree de sesame",TRIM($AA10)="tahini",TRIM($AA10)="puree de sesame")),"",IF(BW10="X","X",IF(OR(BW10="?",ISNUMBER(SEARCH(" bloody mary ",$AA10))),"?","")))),"")</f>
        <v/>
      </c>
      <c r="O10" s="233" t="str">
        <f>IF(10=10,IF($B10="","",BZ10),"")</f>
        <v/>
      </c>
      <c r="P10" s="233" t="str">
        <f>IF(10=10,IF($B10="","",CC10),"")</f>
        <v/>
      </c>
      <c r="Q10" s="233" t="str">
        <f>IF(10=10,IF($B10="","",CF10),"")</f>
        <v/>
      </c>
      <c r="R10" s="233" t="str">
        <f>IF(10=10,IF($B10="","",IF(TRIM($AA10)="fruits a coque","",IF(CL10="X","X",IF(OR(CL10="?",OR(ISNUMBER(SEARCH(" clamato ",$AA10)),ISNUMBER(SEARCH(" bloody caesar ",$AA10)))),"?","")))),"")</f>
        <v/>
      </c>
      <c r="S10" s="234" t="str">
        <f>IF(10=10,IF($B10="","",IF(E10="?",""&amp;"Céréales contenant du gluten","")&amp;IF(F10="?",IF(COUNTIF($E10:$E10,"~?")&gt;0,", ","")&amp;"Crustacés","")&amp;IF(G10="?",IF(COUNTIF($E10:$F10,"~?")&gt;0,", ","")&amp;"Œufs","")&amp;IF(H10="?",IF(COUNTIF($E10:$G10,"~?")&gt;0,", ","")&amp;"Poissons","")&amp;IF(I10="?",IF(COUNTIF($E10:$H10,"~?")&gt;0,", ","")&amp;"Arachides","")&amp;IF(J10="?",IF(COUNTIF($E10:$I10,"~?")&gt;0,", ","")&amp;"Soja","")&amp;IF(K10="?",IF(COUNTIF($E10:$J10,"~?")&gt;0,", ","")&amp;"Lait","")&amp;IF(L10="?",IF(COUNTIF($E10:$K10,"~?")&gt;0,", ","")&amp;"Fruits à coque","")&amp;IF(M10="?",IF(COUNTIF($E10:$L10,"~?")&gt;0,", ","")&amp;"Céleri","")&amp;IF(N10="?",IF(COUNTIF($E10:$M10,"~?")&gt;0,", ","")&amp;"Moutarde","")&amp;IF(O10="?",IF(COUNTIF($E10:$N10,"~?")&gt;0,", ","")&amp;"Sésame","")&amp;IF(P10="?",IF(COUNTIF($E10:$O10,"~?")&gt;0,", ","")&amp;"Sulfites","")&amp;IF(Q10="?",IF(COUNTIF($E10:$P10,"~?")&gt;0,", ","")&amp;"Lupin","")&amp;IF(R10="?",IF(COUNTIF($E10:$Q10,"~?")&gt;0,", ","")&amp;"Mollusques","")),"")</f>
        <v/>
      </c>
      <c r="U10" s="209" t="str">
        <f>IF(10=10,IF($B10="","",$B10),"")</f>
        <v>Lait concentré</v>
      </c>
      <c r="V10" s="209" t="str">
        <f>IF(10=10,LOWER(CLEAN(SUBSTITUTE(SUBSTITUTE(SUBSTITUTE(SUBSTITUTE($U10,CHAR(160)," ")," "," "),CHAR(10)," "),CHAR(13)," "))),"")</f>
        <v>lait concentré</v>
      </c>
      <c r="W10" s="209" t="str">
        <f>IF(10=10,SUBSTITUTE(SUBSTITUTE(SUBSTITUTE(SUBSTITUTE(SUBSTITUTE(SUBSTITUTE(SUBSTITUTE(SUBSTITUTE(SUBSTITUTE(SUBSTITUTE(SUBSTITUTE(SUBSTITUTE($V10,"œ","oe"),"æ","ae"),"à","a"),"á","a"),"â","a"),"ä","a"),"ã","a"),"ç","c"),"è","e"),"é","e"),"ê","e"),"ë","e"),"")</f>
        <v>lait concentre</v>
      </c>
      <c r="X10" s="209" t="str">
        <f>IF(10=10,SUBSTITUTE(SUBSTITUTE(SUBSTITUTE(SUBSTITUTE(SUBSTITUTE(SUBSTITUTE(SUBSTITUTE(SUBSTITUTE(SUBSTITUTE(SUBSTITUTE(SUBSTITUTE(SUBSTITUTE(SUBSTITUTE(SUBSTITUTE(SUBSTITUTE(SUBSTITUTE($W10,"ì","i"),"í","i"),"î","i"),"ï","i"),"ñ","n"),"ò","o"),"ó","o"),"ô","o"),"ö","o"),"õ","o"),"ù","u"),"ú","u"),"û","u"),"ü","u"),"ý","y"),"ÿ","y"),"")</f>
        <v>lait concentre</v>
      </c>
      <c r="Y10" s="209" t="str">
        <f>IF(10=10,SUBSTITUTE(SUBSTITUTE(SUBSTITUTE(SUBSTITUTE(SUBSTITUTE(SUBSTITUTE(SUBSTITUTE(SUBSTITUTE(SUBSTITUTE(SUBSTITUTE(SUBSTITUTE(SUBSTITUTE(SUBSTITUTE(SUBSTITUTE($X10,"’"," "),"`"," "),"–"," "),"—"," "),"-"," "),"'"," "),"/"," "),"_"," "),","," "),"."," "),"("," "),")"," "),";"," "),":"," "),"")</f>
        <v>lait concentre</v>
      </c>
      <c r="Z10" s="209" t="str">
        <f>IF(10=10,SUBSTITUTE(SUBSTITUTE(SUBSTITUTE(SUBSTITUTE(SUBSTITUTE(SUBSTITUTE(SUBSTITUTE(SUBSTITUTE(SUBSTITUTE(SUBSTITUTE(SUBSTITUTE(SUBSTITUTE(SUBSTITUTE(SUBSTITUTE(SUBSTITUTE($Y10,"!"," "),"?"," "),"+"," "),"*"," "),"&amp;"," "),"["," "),"]"," "),"{"," "),"}"," "),"%"," "),"="," "),"\"," "),"|"," "),"&lt;"," "),"&gt;"," "),"")</f>
        <v>lait concentre</v>
      </c>
      <c r="AA10" s="209" t="str">
        <f>IF(10=10," "&amp;TRIM(SUBSTITUTE(SUBSTITUTE(SUBSTITUTE(SUBSTITUTE(SUBSTITUTE(SUBSTITUTE($Z10,CHAR(34)," "),"  "," "),"  "," "),"  "," "),"  "," "),"  "," "))&amp;" ","")</f>
        <v xml:space="preserve"> lait concentre </v>
      </c>
      <c r="AB10" s="209">
        <f>IF(10=10,IF($U10="","",SUMPRODUCT(--ISNUMBER(SEARCH(" "&amp;$CR$2:$CR$101&amp;" ",$AD10)))),"")</f>
        <v>0</v>
      </c>
      <c r="AC10" s="209">
        <f>IF(10=10,IF($U10="","",SUMPRODUCT(--ISNUMBER(SEARCH(" "&amp;$CR$102:$CR$151&amp;" ",$AD10)))),"")</f>
        <v>0</v>
      </c>
      <c r="AD10" s="209" t="str">
        <f t="shared" si="1"/>
        <v xml:space="preserve"> lait concentre </v>
      </c>
      <c r="AE10" s="209">
        <f t="shared" si="2"/>
        <v>0</v>
      </c>
      <c r="AF10" s="209" t="str">
        <f>IF(10=10,IF($U10="","",IF(SUM(AB10:AC10)+SUMPRODUCT(--ISNUMBER(SEARCH(" "&amp;$CR$2418:$CR$2420&amp;" ",$AD10)))&gt;0,"X",IF(AE10&gt;0,"?",""))),"")</f>
        <v/>
      </c>
      <c r="AG10" s="209">
        <f>IF(10=10,IF($U10="","",SUMPRODUCT(--ISNUMBER(SEARCH(" "&amp;$CR$206:$CR$305&amp;" ",$AA10)))),"")</f>
        <v>0</v>
      </c>
      <c r="AH10" s="209">
        <f>IF(10=10,IF($U10="","",SUMPRODUCT(--ISNUMBER(SEARCH(" "&amp;$CR$306:$CR$340&amp;" ",$AA10)))),"")</f>
        <v>0</v>
      </c>
      <c r="AI10" s="209" t="str">
        <f>IF(10=10,IF($U10="","",IF((SUM(AG10:AH10))-(0)&gt;0,"X",IF((0)-(0)&gt;0,"?",""))),"")</f>
        <v/>
      </c>
      <c r="AJ10" s="209">
        <f>IF(10=10,IF($U10="","",SUMPRODUCT(--ISNUMBER(SEARCH(" "&amp;$CR$341:$CR$398&amp;" ",$AA10)))),"")</f>
        <v>0</v>
      </c>
      <c r="AK10" s="209">
        <f>IF(10=10,IF($U10="","",SUMPRODUCT(--ISNUMBER(SEARCH(" "&amp;$CR$399:$CR$426&amp;" ",$AL10)))+SUMPRODUCT(--ISNUMBER(SEARCH(" "&amp;$CR$2440:$CR$2453&amp;" ",$AL10)))),"")</f>
        <v>0</v>
      </c>
      <c r="AL10" s="209" t="str">
        <f>IF(10=10,IF($U10="","",SUBSTITUTE(SUBSTITUTE(SUBSTITUTE(SUBSTITUTE(SUBSTITUTE(SUBSTITUTE(SUBSTITUTE(SUBSTITUTE(SUBSTITUTE(SUBSTITUTE(SUBSTITUTE(SUBSTITUTE(SUBSTITUTE(SUBSTITUTE($AA10,"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lait concentre </v>
      </c>
      <c r="AM10" s="209" t="str">
        <f>IF(10=10,IF($U10="","",IF(AJ10&gt;0,"X",IF(AK10&gt;0,"?",""))),"")</f>
        <v/>
      </c>
      <c r="AN10" s="209">
        <f>IF(10=10,IF($U10="","",SUMPRODUCT(--ISNUMBER(SEARCH(" "&amp;$CR$436:$CR$535&amp;" ",$AX10)))),"")</f>
        <v>0</v>
      </c>
      <c r="AO10" s="209">
        <f>IF(10=10,IF($U10="","",SUMPRODUCT(--ISNUMBER(SEARCH(" "&amp;$CR$536:$CR$635&amp;" ",$AX10)))),"")</f>
        <v>0</v>
      </c>
      <c r="AP10" s="209">
        <f>IF(10=10,IF($U10="","",SUMPRODUCT(--ISNUMBER(SEARCH(" "&amp;$CR$636:$CR$735&amp;" ",$AX10)))),"")</f>
        <v>0</v>
      </c>
      <c r="AQ10" s="209">
        <f>IF(10=10,IF($U10="","",SUMPRODUCT(--ISNUMBER(SEARCH(" "&amp;$CR$736:$CR$835&amp;" ",$AX10)))),"")</f>
        <v>0</v>
      </c>
      <c r="AR10" s="209">
        <f>IF(10=10,IF($U10="","",SUMPRODUCT(--ISNUMBER(SEARCH(" "&amp;$CR$836:$CR$935&amp;" ",$AX10)))),"")</f>
        <v>0</v>
      </c>
      <c r="AS10" s="209">
        <f>IF(10=10,IF($U10="","",SUMPRODUCT(--ISNUMBER(SEARCH(" "&amp;$CR$936:$CR$1035&amp;" ",$AX10)))),"")</f>
        <v>0</v>
      </c>
      <c r="AT10" s="209">
        <f>IF(10=10,IF($U10="","",SUMPRODUCT(--ISNUMBER(SEARCH(" "&amp;$CR$1036:$CR$1135&amp;" ",$AX10)))),"")</f>
        <v>0</v>
      </c>
      <c r="AU10" s="209">
        <f>IF(10=10,IF($U10="","",SUMPRODUCT(--ISNUMBER(SEARCH(" "&amp;$CR$1136:$CR$1235&amp;" ",$AX10)))),"")</f>
        <v>0</v>
      </c>
      <c r="AV10" s="209">
        <f>IF(10=10,IF($U10="","",SUMPRODUCT(--ISNUMBER(SEARCH(" "&amp;$CR$1236:$CR$1335&amp;" ",$AX10)))),"")</f>
        <v>0</v>
      </c>
      <c r="AW10" s="209">
        <f>IF(10=10,IF($U10="","",SUMPRODUCT(--ISNUMBER(SEARCH(" "&amp;$CR$1336:$CR$1363&amp;" ",$AX10)))),"")</f>
        <v>0</v>
      </c>
      <c r="AX10" s="209" t="str">
        <f>IF(10=10,IF($U10="","",SUBSTITUTE(SUBSTITUTE(SUBSTITUTE(SUBSTITUTE(SUBSTITUTE(SUBSTITUTE(SUBSTITUTE(SUBSTITUTE(SUBSTITUTE($AA10,"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lait concentre </v>
      </c>
      <c r="AY10" s="209">
        <f>IF(10=10,IF($U10="","",SUMPRODUCT(--ISNUMBER(SEARCH(" "&amp;$CR$1373:$CR$1383&amp;" ",$AX10)))),"")</f>
        <v>0</v>
      </c>
      <c r="AZ10" s="209" t="str">
        <f>IF(10=10,IF($U10="","",IF(SUM(AN10:AW10)+SUMPRODUCT(--ISNUMBER(SEARCH(" "&amp;$CR$2421:$CR$2422&amp;" ",$AX10)))&gt;0,"X",IF(AY10&gt;0,"?",""))),"")</f>
        <v/>
      </c>
      <c r="BA10" s="209">
        <f>IF(10=10,IF($U10="","",SUMPRODUCT(--ISNUMBER(SEARCH(" "&amp;$CR$1384:$CR$1404&amp;" ",$AA10)))),"")</f>
        <v>0</v>
      </c>
      <c r="BB10" s="209" t="str">
        <f>IF(10=10,IF($U10="","",IF((BA10)-(0)&gt;0,"X",IF((0)-(0)&gt;0,"?",""))),"")</f>
        <v/>
      </c>
      <c r="BC10" s="209">
        <f>IF(10=10,IF($U10="","",SUMPRODUCT(--ISNUMBER(SEARCH(" "&amp;$CR$1405:$CR$1442&amp;" ",$BD10)))),"")</f>
        <v>0</v>
      </c>
      <c r="BD10" s="209" t="str">
        <f>IF(10=10,IF($U10="","",SUBSTITUTE(SUBSTITUTE($AA10," "&amp;$CR$1443&amp;" "," ")," "&amp;$CR$1444&amp;" "," ")),"")</f>
        <v xml:space="preserve"> lait concentre </v>
      </c>
      <c r="BE10" s="209">
        <f>IF(10=10,IF($U10="","",SUMPRODUCT(--ISNUMBER(SEARCH(" "&amp;$CR$1445:$CR$1455&amp;" ",$BD10)))),"")</f>
        <v>0</v>
      </c>
      <c r="BF10" s="209" t="str">
        <f>IF(10=10,IF($U10="","",IF(BC10&gt;0,"X",IF(BE10&gt;0,"?",""))),"")</f>
        <v/>
      </c>
      <c r="BG10" s="209">
        <f>IF(10=10,IF($U10="","",SUMPRODUCT(--ISNUMBER(SEARCH(" "&amp;$CR$1456:$CR$1555&amp;" ",$BJ10)))),"")</f>
        <v>0</v>
      </c>
      <c r="BH10" s="209">
        <f>IF(10=10,IF($U10="","",SUMPRODUCT(--ISNUMBER(SEARCH(" "&amp;$CR$1556:$CR$1655&amp;" ",$BJ10)))),"")</f>
        <v>2</v>
      </c>
      <c r="BI10" s="209">
        <f>IF(10=10,IF($U10="","",SUMPRODUCT(--ISNUMBER(SEARCH(" "&amp;$CR$1656:$CR$1739&amp;" ",$BJ10)))),"")</f>
        <v>0</v>
      </c>
      <c r="BJ10" s="209" t="str">
        <f>IF(10=10,IF($U10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10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lait concentre </v>
      </c>
      <c r="BK10" s="209">
        <f>IF(10=10,IF($U10="","",SUMPRODUCT(--ISNUMBER(SEARCH(" "&amp;$CR$1790:$CR$1869&amp;" ",$BL10)))+SUMPRODUCT(--ISNUMBER(SEARCH(" "&amp;$CR$2440:$CR$2453&amp;" ",$BL10)))),"")</f>
        <v>0</v>
      </c>
      <c r="BL10" s="209" t="str">
        <f>IF(10=10,IF($U10="","",SUBSTITUTE(SUBSTITUTE(SUBSTITUTE(SUBSTITUTE(SUBSTITUTE(SUBSTITUTE(SUBSTITUTE(SUBSTITUTE(SUBSTITUTE(SUBSTITUTE(SUBSTITUTE(SUBSTITUTE(SUBSTITUTE($BJ10,"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lait concentre </v>
      </c>
      <c r="BM10" s="209" t="str">
        <f>IF(10=10,IF($U10="","",IF(SUM(BG10:BI10)+SUMPRODUCT(--ISNUMBER(SEARCH(" "&amp;$CR$2423:$CR$2424&amp;" ",$BJ10)))&gt;0,"X",IF(BK10&gt;0,"?",""))),"")</f>
        <v>X</v>
      </c>
      <c r="BN10" s="209">
        <f>IF(10=10,IF($U10="","",SUMPRODUCT(--ISNUMBER(SEARCH(" "&amp;$CR$1879:$CR$1936&amp;" ",$BO10)))),"")</f>
        <v>0</v>
      </c>
      <c r="BO10" s="209" t="str">
        <f>IF(10=10,IF($U10="","",SUBSTITUTE(SUBSTITUTE(SUBSTITUTE(SUBSTITUTE(SUBSTITUTE(SUBSTITUTE(SUBSTITUTE(SUBSTITUTE(SUBSTITUTE(SUBSTITUTE(SUBSTITUTE(SUBSTITUTE(SUBSTITUTE(SUBSTITUTE(SUBSTITUTE(SUBSTITUTE(SUBSTITUTE(SUBSTITUTE(SUBSTITUTE(SUBSTITUTE(SUBSTITUTE(SUBSTITUTE(SUBSTITUTE($AA10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lait concentre </v>
      </c>
      <c r="BP10" s="209">
        <f>IF(10=10,IF($U10="","",SUMPRODUCT(--ISNUMBER(SEARCH(" "&amp;$CR$1960:$CR$1976&amp;" ",$BO10)))),"")</f>
        <v>0</v>
      </c>
      <c r="BQ10" s="209" t="str">
        <f>IF(10=10,IF($U10="","",IF(BN10&gt;0,"X",IF(BP10&gt;0,"?",""))),"")</f>
        <v/>
      </c>
      <c r="BR10" s="209">
        <f>IF(10=10,IF($U10="","",SUMPRODUCT(--ISNUMBER(SEARCH(" "&amp;$CR$1977:$CR$1990&amp;" ",$AA10)))),"")</f>
        <v>0</v>
      </c>
      <c r="BS10" s="209">
        <f>IF(10=10,IF($U10="","",SUMPRODUCT(--ISNUMBER(SEARCH(" "&amp;$CR$1991:$CR$2005&amp;" ",$AA10)))),"")</f>
        <v>0</v>
      </c>
      <c r="BT10" s="209" t="str">
        <f>IF(10=10,IF($U10="","",IF((BR10)-(0)&gt;0,"X",IF((BS10)-(0)&gt;0,"?",""))),"")</f>
        <v/>
      </c>
      <c r="BU10" s="209">
        <f>IF(10=10,IF($U10="","",SUMPRODUCT(--ISNUMBER(SEARCH(" "&amp;$CR$2006:$CR$2023&amp;" ",$AA10)))),"")</f>
        <v>0</v>
      </c>
      <c r="BV10" s="209">
        <f>IF(10=10,IF($U10="","",SUMPRODUCT(--ISNUMBER(SEARCH(" "&amp;$CR$2024:$CR$2038&amp;" ",$AA10)))),"")</f>
        <v>0</v>
      </c>
      <c r="BW10" s="209" t="str">
        <f>IF(10=10,IF($U10="","",IF((BU10)-(0)&gt;0,"X",IF((BV10)-(0)&gt;0,"?",""))),"")</f>
        <v/>
      </c>
      <c r="BX10" s="209">
        <f>IF(10=10,IF($U10="","",SUMPRODUCT(--ISNUMBER(SEARCH(" "&amp;$CR$2039:$CR$2057&amp;" ",$AA10)))),"")</f>
        <v>0</v>
      </c>
      <c r="BY10" s="209">
        <f>IF(10=10,IF($U10="","",SUMPRODUCT(--ISNUMBER(SEARCH(" "&amp;$CR$2058:$CR$2072&amp;" ",$AA10)))),"")</f>
        <v>0</v>
      </c>
      <c r="BZ10" s="209" t="str">
        <f>IF(10=10,IF($U10="","",IF((BX10)-(0)&gt;0,"X",IF((BY10)-(0)&gt;0,"?",""))),"")</f>
        <v/>
      </c>
      <c r="CA10" s="209">
        <f>IF(10=10,IF($U10="","",SUMPRODUCT(--ISNUMBER(SEARCH(" "&amp;$CR$2073:$CR$2093&amp;" ",$AA10)))),"")</f>
        <v>0</v>
      </c>
      <c r="CB10" s="209">
        <f>IF(10=10,IF($U10="","",SUMPRODUCT(--ISNUMBER(SEARCH(" "&amp;$CR$2094:$CR$2133&amp;" ",SUBSTITUTE(SUBSTITUTE($AA10," "&amp;$CR$1367&amp;" "," ")," "&amp;$CR$1366&amp;" "," "))))+--ISNUMBER(SEARCH("poiré",$V10))),"")</f>
        <v>0</v>
      </c>
      <c r="CC10" s="209" t="str">
        <f>IF(10=10,IF($U10="","",IF(OR(CA10&gt;0,ISNUMBER(SEARCH(" vinaigre de vin ",$AA10)),ISNUMBER(SEARCH(" vinaigre au vin ",$AA10))),"X",IF(CB10&gt;0,"?",""))),"")</f>
        <v/>
      </c>
      <c r="CD10" s="209">
        <f>IF(10=10,IF($U10="","",SUMPRODUCT(--ISNUMBER(SEARCH(" "&amp;$CR$2134:$CR$2146&amp;" ",$AA10)))),"")</f>
        <v>0</v>
      </c>
      <c r="CE10" s="209">
        <f>IF(10=10,IF($U10="","",SUMPRODUCT(--ISNUMBER(SEARCH(" "&amp;$CR$2147:$CR$2152&amp;" ",$AA10)))),"")</f>
        <v>0</v>
      </c>
      <c r="CF10" s="209" t="str">
        <f>IF(10=10,IF($U10="","",IF((CD10)-(0)&gt;0,"X",IF((CE10)-(0)&gt;0,"?",""))),"")</f>
        <v/>
      </c>
      <c r="CG10" s="209">
        <f>IF(10=10,IF($U10="","",SUMPRODUCT(--ISNUMBER(SEARCH(" "&amp;$CR$2153:$CR$2252&amp;" ",$CJ10)))),"")</f>
        <v>0</v>
      </c>
      <c r="CH10" s="209">
        <f>IF(10=10,IF($U10="","",SUMPRODUCT(--ISNUMBER(SEARCH(" "&amp;$CR$2253:$CR$2352&amp;" ",$CJ10)))),"")</f>
        <v>0</v>
      </c>
      <c r="CI10" s="209">
        <f>IF(10=10,IF($U10="","",SUMPRODUCT(--ISNUMBER(SEARCH(" "&amp;$CR$2353:$CR$2395&amp;" ",$CJ10)))),"")</f>
        <v>0</v>
      </c>
      <c r="CJ10" s="209" t="str">
        <f>IF(10=10,IF($U10="","",SUBSTITUTE(SUBSTITUTE(SUBSTITUTE(SUBSTITUTE(SUBSTITUTE(SUBSTITUTE(SUBSTITUTE(SUBSTITUTE(SUBSTITUTE(SUBSTITUTE(SUBSTITUTE(SUBSTITUTE(SUBSTITUTE(SUBSTITUTE(SUBSTITUTE(SUBSTITUTE($AA10,"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lait concentre </v>
      </c>
      <c r="CK10" s="209">
        <f>IF(10=10,IF($U10="","",SUMPRODUCT(--ISNUMBER(SEARCH(" "&amp;$CR$2412:$CR$2416&amp;" ",$CJ10)))),"")</f>
        <v>0</v>
      </c>
      <c r="CL10" s="209" t="str">
        <f>IF(10=10,IF($U10="","",IF(SUM(CG10:CI10)&gt;0,"X",IF(CK10&gt;0,"?",""))),"")</f>
        <v/>
      </c>
      <c r="CM10" s="210"/>
      <c r="CN10" s="213" t="s">
        <v>984</v>
      </c>
      <c r="CO10" s="213" t="s">
        <v>878</v>
      </c>
      <c r="CP10" s="213" t="s">
        <v>879</v>
      </c>
      <c r="CQ10" s="213" t="s">
        <v>985</v>
      </c>
      <c r="CR10" s="213" t="s">
        <v>986</v>
      </c>
      <c r="CS10" s="213" t="s">
        <v>881</v>
      </c>
      <c r="CT10" s="213" t="s">
        <v>882</v>
      </c>
      <c r="CU10" s="213" t="s">
        <v>883</v>
      </c>
      <c r="CV10" s="214" t="s">
        <v>884</v>
      </c>
      <c r="CX10" s="212">
        <v>1</v>
      </c>
    </row>
    <row r="11" spans="1:102" ht="21" customHeight="1">
      <c r="A11" s="229">
        <v>5</v>
      </c>
      <c r="B11" s="230" t="s">
        <v>6444</v>
      </c>
      <c r="C11" s="231" t="str">
        <f t="shared" si="0"/>
        <v>Yaourt *</v>
      </c>
      <c r="D11" s="232" t="str">
        <f>IF(11=11,IF($B11="","",IF(E11="X",""&amp;"Céréales contenant du gluten","")&amp;IF(F11="X",IF(COUNTIF($E11:$E11,"X")&gt;0,", ","")&amp;"Crustacés","")&amp;IF(G11="X",IF(COUNTIF($E11:$F11,"X")&gt;0,", ","")&amp;"Œufs","")&amp;IF(H11="X",IF(COUNTIF($E11:$G11,"X")&gt;0,", ","")&amp;"Poissons","")&amp;IF(I11="X",IF(COUNTIF($E11:$H11,"X")&gt;0,", ","")&amp;"Arachides","")&amp;IF(J11="X",IF(COUNTIF($E11:$I11,"X")&gt;0,", ","")&amp;"Soja","")&amp;IF(K11="X",IF(COUNTIF($E11:$J11,"X")&gt;0,", ","")&amp;"Lait","")&amp;IF(L11="X",IF(COUNTIF($E11:$K11,"X")&gt;0,", ","")&amp;"Fruits à coque","")&amp;IF(M11="X",IF(COUNTIF($E11:$L11,"X")&gt;0,", ","")&amp;"Céleri","")&amp;IF(N11="X",IF(COUNTIF($E11:$M11,"X")&gt;0,", ","")&amp;"Moutarde","")&amp;IF(O11="X",IF(COUNTIF($E11:$N11,"X")&gt;0,", ","")&amp;"Sésame","")&amp;IF(P11="X",IF(COUNTIF($E11:$O11,"X")&gt;0,", ","")&amp;"Sulfites","")&amp;IF(Q11="X",IF(COUNTIF($E11:$P11,"X")&gt;0,", ","")&amp;"Lupin","")&amp;IF(R11="X",IF(COUNTIF($E11:$Q11,"X")&gt;0,", ","")&amp;"Mollusques","")),"")</f>
        <v>Lait</v>
      </c>
      <c r="E11" s="233" t="str">
        <f>IF(11=11,IF($B11="","",IF(OR(ISNUMBER(SEARCH(" biere sans gluten ",$AA11)),ISNUMBER(SEARCH(" gluten free beer ",$AA11)),ISNUMBER(SEARCH(" beer gluten free ",$AA11))),"",IF(AF11="X","X",IF(OR(AF11="?",OR(ISNUMBER(SEARCH(" worcestershire ",$AA11)),ISNUMBER(SEARCH(" bloody mary ",$AA11)))),"?","")))),"")</f>
        <v/>
      </c>
      <c r="F11" s="233" t="str">
        <f>IF(11=11,IF($B11="","",AI11),"")</f>
        <v/>
      </c>
      <c r="G11" s="233" t="str">
        <f>IF(11=11,IF($B11="","",IF(OR(TRIM($AA11)="puree pate d amande",TRIM($AA11)="pate puree d amande",TRIM($AA11)="puree d amande",TRIM($AA11)="pate d amande",TRIM($AA11)="pate puree de noisette",TRIM($AA11)="puree pate de noisette",TRIM($AA11)="puree de noisette",TRIM($AA11)="pate de noisette"),"",IF(OR(AM11="X",OR(ISNUMBER(SEARCH(" macaron ",$AA11)),ISNUMBER(SEARCH(" egg nog ",$AA11)),ISNUMBER(SEARCH(" eggnog ",$AA11)))),"X",IF(OR(AM11="?",OR(ISNUMBER(SEARCH(" biscuit decoratif ",$AA11)),ISNUMBER(SEARCH(" whisky sour ",$AA11)),ISNUMBER(SEARCH(" whiskey sour ",$AA11)),ISNUMBER(SEARCH(" amaretto sour ",$AA11)),ISNUMBER(SEARCH(" pisco sour ",$AA11)),ISNUMBER(SEARCH(" clover club ",$AA11)),ISNUMBER(SEARCH(" ramos gin fizz ",$AA11)))),"?","")))),"")</f>
        <v/>
      </c>
      <c r="H11" s="233" t="str">
        <f>IF(11=11,IF($B11="","",IF(ISNUMBER(SEARCH(" colin ",$AA11)),"X",IF(AZ11="X","X",IF(OR(AZ11="?",OR(ISNUMBER(SEARCH(" worcestershire ",$AA11)),ISNUMBER(SEARCH(" bloody mary ",$AA11)))),"?","")))),"")</f>
        <v/>
      </c>
      <c r="I11" s="233" t="str">
        <f>IF(11=11,IF($B11="","",BB11),"")</f>
        <v/>
      </c>
      <c r="J11" s="233" t="str">
        <f>IF(11=11,IF($B11="","",BF11),"")</f>
        <v/>
      </c>
      <c r="K11" s="233" t="str">
        <f>IF(11=11,IF($B11="","",IF(OR(OR(TRIM($AA11)="puree pate d amande",TRIM($AA11)="pate puree d amande",TRIM($AA11)="puree d amande",TRIM($AA11)="pate d amande",TRIM($AA11)="pate puree de noisette",TRIM($AA11)="puree pate de noisette",TRIM($AA11)="puree de noisette",TRIM($AA11)="pate de noisette"),OR(TRIM($AA11)="beurre puree d arachide",TRIM($AA11)="beurre d arachide",TRIM($AA11)="puree d arachide"),OR(TRIM($AA11)="tahini puree de sesame",TRIM($AA11)="tahini",TRIM($AA11)="puree de sesame")),"",IF(OR(TRIM($AA11)="creme de cassis",TRIM($AA11)="creme de menthe",TRIM($AA11)="creme de cacao",TRIM($AA11)="creme de mure",TRIM($AA11)="creme de framboise",TRIM($AA11)="creme de peche",TRIM($AA11)="creme de banane",TRIM($AA11)="liqueur creme de coco",TRIM($AA11)="creme de coco",TRIM($AA11)="spiritueux aromatise arrange creme de spiritueux"),"?",IF(OR(BM11="X",OR(ISNUMBER(SEARCH(" baileys ",$AA11)),ISNUMBER(SEARCH(" irish cream ",$AA11)),ISNUMBER(SEARCH(" creme de whisky ",$AA11)))),"X",IF(OR(BM11="?",OR(OR(TRIM($AA11)="creme de cassis",TRIM($AA11)="creme de menthe",TRIM($AA11)="creme de cacao",TRIM($AA11)="creme de mure",TRIM($AA11)="creme de framboise",TRIM($AA11)="creme de peche",TRIM($AA11)="creme de banane",TRIM($AA11)="liqueur creme de coco",TRIM($AA11)="creme de coco",TRIM($AA11)="spiritueux aromatise arrange creme de spiritueux"),ISNUMBER(SEARCH(" advocaat ",$AA11)),ISNUMBER(SEARCH(" liqueur aux oeufs ",$AA11)),ISNUMBER(SEARCH(" liqueur de chocolat ",$AA11)),ISNUMBER(SEARCH(" liqueur de caramel ",$AA11)),ISNUMBER(SEARCH(" sauce nappage chocolat ",$AA11)),ISNUMBER(SEARCH(" biscuit decoratif ",$AA11)),ISNUMBER(SEARCH(" white russian ",$AA11)),ISNUMBER(SEARCH(" grasshopper ",$AA11)),ISNUMBER(SEARCH(" irish coffee ",$AA11)),ISNUMBER(SEARCH(" ramos gin fizz ",$AA11)),ISNUMBER(SEARCH(" egg nog ",$AA11)),ISNUMBER(SEARCH(" eggnog ",$AA11)))),"?",""))))),"")</f>
        <v>X</v>
      </c>
      <c r="L11" s="233" t="str">
        <f>IF(11=11,IF($B11="","",IF(OR(BQ11="X",OR(OR(TRIM($AA11)="puree pate d amande",TRIM($AA11)="pate puree d amande",TRIM($AA11)="puree d amande",TRIM($AA11)="pate d amande",TRIM($AA11)="pate puree de noisette",TRIM($AA11)="puree pate de noisette",TRIM($AA11)="puree de noisette",TRIM($AA11)="pate de noisette"),ISNUMBER(SEARCH(" macaron ",$AA11)),TRIM($AA11)="fruits a coque")),"X",IF(OR(BQ11="?",OR(ISNUMBER(SEARCH(" sirop d orgeat ",$AA11)),ISNUMBER(SEARCH(" orgeat ",$AA11)),ISNUMBER(SEARCH(" amaretto ",$AA11)))),"?",""))),"")</f>
        <v/>
      </c>
      <c r="M11" s="233" t="str">
        <f>IF(11=11,IF($B11="","",IF(OR(OR(TRIM($AA11)="puree pate d amande",TRIM($AA11)="pate puree d amande",TRIM($AA11)="puree d amande",TRIM($AA11)="pate d amande",TRIM($AA11)="pate puree de noisette",TRIM($AA11)="puree pate de noisette",TRIM($AA11)="puree de noisette",TRIM($AA11)="pate de noisette"),OR(TRIM($AA11)="tahini puree de sesame",TRIM($AA11)="tahini",TRIM($AA11)="puree de sesame")),"",IF(BT11="X","X",IF(OR(BT11="?",ISNUMBER(SEARCH(" bloody mary ",$AA11))),"?","")))),"")</f>
        <v/>
      </c>
      <c r="N11" s="233" t="str">
        <f>IF(11=11,IF($B11="","",IF(OR(OR(TRIM($AA11)="puree pate d amande",TRIM($AA11)="pate puree d amande",TRIM($AA11)="puree d amande",TRIM($AA11)="pate d amande",TRIM($AA11)="pate puree de noisette",TRIM($AA11)="puree pate de noisette",TRIM($AA11)="puree de noisette",TRIM($AA11)="pate de noisette"),OR(TRIM($AA11)="tahini puree de sesame",TRIM($AA11)="tahini",TRIM($AA11)="puree de sesame")),"",IF(BW11="X","X",IF(OR(BW11="?",ISNUMBER(SEARCH(" bloody mary ",$AA11))),"?","")))),"")</f>
        <v/>
      </c>
      <c r="O11" s="233" t="str">
        <f>IF(11=11,IF($B11="","",BZ11),"")</f>
        <v/>
      </c>
      <c r="P11" s="233" t="str">
        <f>IF(11=11,IF($B11="","",CC11),"")</f>
        <v/>
      </c>
      <c r="Q11" s="233" t="str">
        <f>IF(11=11,IF($B11="","",CF11),"")</f>
        <v/>
      </c>
      <c r="R11" s="233" t="str">
        <f>IF(11=11,IF($B11="","",IF(TRIM($AA11)="fruits a coque","",IF(CL11="X","X",IF(OR(CL11="?",OR(ISNUMBER(SEARCH(" clamato ",$AA11)),ISNUMBER(SEARCH(" bloody caesar ",$AA11)))),"?","")))),"")</f>
        <v/>
      </c>
      <c r="S11" s="234" t="str">
        <f>IF(11=11,IF($B11="","",IF(E11="?",""&amp;"Céréales contenant du gluten","")&amp;IF(F11="?",IF(COUNTIF($E11:$E11,"~?")&gt;0,", ","")&amp;"Crustacés","")&amp;IF(G11="?",IF(COUNTIF($E11:$F11,"~?")&gt;0,", ","")&amp;"Œufs","")&amp;IF(H11="?",IF(COUNTIF($E11:$G11,"~?")&gt;0,", ","")&amp;"Poissons","")&amp;IF(I11="?",IF(COUNTIF($E11:$H11,"~?")&gt;0,", ","")&amp;"Arachides","")&amp;IF(J11="?",IF(COUNTIF($E11:$I11,"~?")&gt;0,", ","")&amp;"Soja","")&amp;IF(K11="?",IF(COUNTIF($E11:$J11,"~?")&gt;0,", ","")&amp;"Lait","")&amp;IF(L11="?",IF(COUNTIF($E11:$K11,"~?")&gt;0,", ","")&amp;"Fruits à coque","")&amp;IF(M11="?",IF(COUNTIF($E11:$L11,"~?")&gt;0,", ","")&amp;"Céleri","")&amp;IF(N11="?",IF(COUNTIF($E11:$M11,"~?")&gt;0,", ","")&amp;"Moutarde","")&amp;IF(O11="?",IF(COUNTIF($E11:$N11,"~?")&gt;0,", ","")&amp;"Sésame","")&amp;IF(P11="?",IF(COUNTIF($E11:$O11,"~?")&gt;0,", ","")&amp;"Sulfites","")&amp;IF(Q11="?",IF(COUNTIF($E11:$P11,"~?")&gt;0,", ","")&amp;"Lupin","")&amp;IF(R11="?",IF(COUNTIF($E11:$Q11,"~?")&gt;0,", ","")&amp;"Mollusques","")),"")</f>
        <v/>
      </c>
      <c r="U11" s="209" t="str">
        <f>IF(11=11,IF($B11="","",$B11),"")</f>
        <v>Yaourt</v>
      </c>
      <c r="V11" s="209" t="str">
        <f>IF(11=11,LOWER(CLEAN(SUBSTITUTE(SUBSTITUTE(SUBSTITUTE(SUBSTITUTE($U11,CHAR(160)," ")," "," "),CHAR(10)," "),CHAR(13)," "))),"")</f>
        <v>yaourt</v>
      </c>
      <c r="W11" s="209" t="str">
        <f>IF(11=11,SUBSTITUTE(SUBSTITUTE(SUBSTITUTE(SUBSTITUTE(SUBSTITUTE(SUBSTITUTE(SUBSTITUTE(SUBSTITUTE(SUBSTITUTE(SUBSTITUTE(SUBSTITUTE(SUBSTITUTE($V11,"œ","oe"),"æ","ae"),"à","a"),"á","a"),"â","a"),"ä","a"),"ã","a"),"ç","c"),"è","e"),"é","e"),"ê","e"),"ë","e"),"")</f>
        <v>yaourt</v>
      </c>
      <c r="X11" s="209" t="str">
        <f>IF(11=11,SUBSTITUTE(SUBSTITUTE(SUBSTITUTE(SUBSTITUTE(SUBSTITUTE(SUBSTITUTE(SUBSTITUTE(SUBSTITUTE(SUBSTITUTE(SUBSTITUTE(SUBSTITUTE(SUBSTITUTE(SUBSTITUTE(SUBSTITUTE(SUBSTITUTE(SUBSTITUTE($W11,"ì","i"),"í","i"),"î","i"),"ï","i"),"ñ","n"),"ò","o"),"ó","o"),"ô","o"),"ö","o"),"õ","o"),"ù","u"),"ú","u"),"û","u"),"ü","u"),"ý","y"),"ÿ","y"),"")</f>
        <v>yaourt</v>
      </c>
      <c r="Y11" s="209" t="str">
        <f>IF(11=11,SUBSTITUTE(SUBSTITUTE(SUBSTITUTE(SUBSTITUTE(SUBSTITUTE(SUBSTITUTE(SUBSTITUTE(SUBSTITUTE(SUBSTITUTE(SUBSTITUTE(SUBSTITUTE(SUBSTITUTE(SUBSTITUTE(SUBSTITUTE($X11,"’"," "),"`"," "),"–"," "),"—"," "),"-"," "),"'"," "),"/"," "),"_"," "),","," "),"."," "),"("," "),")"," "),";"," "),":"," "),"")</f>
        <v>yaourt</v>
      </c>
      <c r="Z11" s="209" t="str">
        <f>IF(11=11,SUBSTITUTE(SUBSTITUTE(SUBSTITUTE(SUBSTITUTE(SUBSTITUTE(SUBSTITUTE(SUBSTITUTE(SUBSTITUTE(SUBSTITUTE(SUBSTITUTE(SUBSTITUTE(SUBSTITUTE(SUBSTITUTE(SUBSTITUTE(SUBSTITUTE($Y11,"!"," "),"?"," "),"+"," "),"*"," "),"&amp;"," "),"["," "),"]"," "),"{"," "),"}"," "),"%"," "),"="," "),"\"," "),"|"," "),"&lt;"," "),"&gt;"," "),"")</f>
        <v>yaourt</v>
      </c>
      <c r="AA11" s="209" t="str">
        <f>IF(11=11," "&amp;TRIM(SUBSTITUTE(SUBSTITUTE(SUBSTITUTE(SUBSTITUTE(SUBSTITUTE(SUBSTITUTE($Z11,CHAR(34)," "),"  "," "),"  "," "),"  "," "),"  "," "),"  "," "))&amp;" ","")</f>
        <v xml:space="preserve"> yaourt </v>
      </c>
      <c r="AB11" s="209">
        <f>IF(11=11,IF($U11="","",SUMPRODUCT(--ISNUMBER(SEARCH(" "&amp;$CR$2:$CR$101&amp;" ",$AD11)))),"")</f>
        <v>0</v>
      </c>
      <c r="AC11" s="209">
        <f>IF(11=11,IF($U11="","",SUMPRODUCT(--ISNUMBER(SEARCH(" "&amp;$CR$102:$CR$151&amp;" ",$AD11)))),"")</f>
        <v>0</v>
      </c>
      <c r="AD11" s="209" t="str">
        <f t="shared" si="1"/>
        <v xml:space="preserve"> yaourt </v>
      </c>
      <c r="AE11" s="209">
        <f t="shared" si="2"/>
        <v>0</v>
      </c>
      <c r="AF11" s="209" t="str">
        <f>IF(11=11,IF($U11="","",IF(SUM(AB11:AC11)+SUMPRODUCT(--ISNUMBER(SEARCH(" "&amp;$CR$2418:$CR$2420&amp;" ",$AD11)))&gt;0,"X",IF(AE11&gt;0,"?",""))),"")</f>
        <v/>
      </c>
      <c r="AG11" s="209">
        <f>IF(11=11,IF($U11="","",SUMPRODUCT(--ISNUMBER(SEARCH(" "&amp;$CR$206:$CR$305&amp;" ",$AA11)))),"")</f>
        <v>0</v>
      </c>
      <c r="AH11" s="209">
        <f>IF(11=11,IF($U11="","",SUMPRODUCT(--ISNUMBER(SEARCH(" "&amp;$CR$306:$CR$340&amp;" ",$AA11)))),"")</f>
        <v>0</v>
      </c>
      <c r="AI11" s="209" t="str">
        <f>IF(11=11,IF($U11="","",IF((SUM(AG11:AH11))-(0)&gt;0,"X",IF((0)-(0)&gt;0,"?",""))),"")</f>
        <v/>
      </c>
      <c r="AJ11" s="209">
        <f>IF(11=11,IF($U11="","",SUMPRODUCT(--ISNUMBER(SEARCH(" "&amp;$CR$341:$CR$398&amp;" ",$AA11)))),"")</f>
        <v>0</v>
      </c>
      <c r="AK11" s="209">
        <f>IF(11=11,IF($U11="","",SUMPRODUCT(--ISNUMBER(SEARCH(" "&amp;$CR$399:$CR$426&amp;" ",$AL11)))+SUMPRODUCT(--ISNUMBER(SEARCH(" "&amp;$CR$2440:$CR$2453&amp;" ",$AL11)))),"")</f>
        <v>0</v>
      </c>
      <c r="AL11" s="209" t="str">
        <f>IF(11=11,IF($U11="","",SUBSTITUTE(SUBSTITUTE(SUBSTITUTE(SUBSTITUTE(SUBSTITUTE(SUBSTITUTE(SUBSTITUTE(SUBSTITUTE(SUBSTITUTE(SUBSTITUTE(SUBSTITUTE(SUBSTITUTE(SUBSTITUTE(SUBSTITUTE($AA11,"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yaourt </v>
      </c>
      <c r="AM11" s="209" t="str">
        <f>IF(11=11,IF($U11="","",IF(AJ11&gt;0,"X",IF(AK11&gt;0,"?",""))),"")</f>
        <v/>
      </c>
      <c r="AN11" s="209">
        <f>IF(11=11,IF($U11="","",SUMPRODUCT(--ISNUMBER(SEARCH(" "&amp;$CR$436:$CR$535&amp;" ",$AX11)))),"")</f>
        <v>0</v>
      </c>
      <c r="AO11" s="209">
        <f>IF(11=11,IF($U11="","",SUMPRODUCT(--ISNUMBER(SEARCH(" "&amp;$CR$536:$CR$635&amp;" ",$AX11)))),"")</f>
        <v>0</v>
      </c>
      <c r="AP11" s="209">
        <f>IF(11=11,IF($U11="","",SUMPRODUCT(--ISNUMBER(SEARCH(" "&amp;$CR$636:$CR$735&amp;" ",$AX11)))),"")</f>
        <v>0</v>
      </c>
      <c r="AQ11" s="209">
        <f>IF(11=11,IF($U11="","",SUMPRODUCT(--ISNUMBER(SEARCH(" "&amp;$CR$736:$CR$835&amp;" ",$AX11)))),"")</f>
        <v>0</v>
      </c>
      <c r="AR11" s="209">
        <f>IF(11=11,IF($U11="","",SUMPRODUCT(--ISNUMBER(SEARCH(" "&amp;$CR$836:$CR$935&amp;" ",$AX11)))),"")</f>
        <v>0</v>
      </c>
      <c r="AS11" s="209">
        <f>IF(11=11,IF($U11="","",SUMPRODUCT(--ISNUMBER(SEARCH(" "&amp;$CR$936:$CR$1035&amp;" ",$AX11)))),"")</f>
        <v>0</v>
      </c>
      <c r="AT11" s="209">
        <f>IF(11=11,IF($U11="","",SUMPRODUCT(--ISNUMBER(SEARCH(" "&amp;$CR$1036:$CR$1135&amp;" ",$AX11)))),"")</f>
        <v>0</v>
      </c>
      <c r="AU11" s="209">
        <f>IF(11=11,IF($U11="","",SUMPRODUCT(--ISNUMBER(SEARCH(" "&amp;$CR$1136:$CR$1235&amp;" ",$AX11)))),"")</f>
        <v>0</v>
      </c>
      <c r="AV11" s="209">
        <f>IF(11=11,IF($U11="","",SUMPRODUCT(--ISNUMBER(SEARCH(" "&amp;$CR$1236:$CR$1335&amp;" ",$AX11)))),"")</f>
        <v>0</v>
      </c>
      <c r="AW11" s="209">
        <f>IF(11=11,IF($U11="","",SUMPRODUCT(--ISNUMBER(SEARCH(" "&amp;$CR$1336:$CR$1363&amp;" ",$AX11)))),"")</f>
        <v>0</v>
      </c>
      <c r="AX11" s="209" t="str">
        <f>IF(11=11,IF($U11="","",SUBSTITUTE(SUBSTITUTE(SUBSTITUTE(SUBSTITUTE(SUBSTITUTE(SUBSTITUTE(SUBSTITUTE(SUBSTITUTE(SUBSTITUTE($AA11,"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yaourt </v>
      </c>
      <c r="AY11" s="209">
        <f>IF(11=11,IF($U11="","",SUMPRODUCT(--ISNUMBER(SEARCH(" "&amp;$CR$1373:$CR$1383&amp;" ",$AX11)))),"")</f>
        <v>0</v>
      </c>
      <c r="AZ11" s="209" t="str">
        <f>IF(11=11,IF($U11="","",IF(SUM(AN11:AW11)+SUMPRODUCT(--ISNUMBER(SEARCH(" "&amp;$CR$2421:$CR$2422&amp;" ",$AX11)))&gt;0,"X",IF(AY11&gt;0,"?",""))),"")</f>
        <v/>
      </c>
      <c r="BA11" s="209">
        <f>IF(11=11,IF($U11="","",SUMPRODUCT(--ISNUMBER(SEARCH(" "&amp;$CR$1384:$CR$1404&amp;" ",$AA11)))),"")</f>
        <v>0</v>
      </c>
      <c r="BB11" s="209" t="str">
        <f>IF(11=11,IF($U11="","",IF((BA11)-(0)&gt;0,"X",IF((0)-(0)&gt;0,"?",""))),"")</f>
        <v/>
      </c>
      <c r="BC11" s="209">
        <f>IF(11=11,IF($U11="","",SUMPRODUCT(--ISNUMBER(SEARCH(" "&amp;$CR$1405:$CR$1442&amp;" ",$BD11)))),"")</f>
        <v>0</v>
      </c>
      <c r="BD11" s="209" t="str">
        <f>IF(11=11,IF($U11="","",SUBSTITUTE(SUBSTITUTE($AA11," "&amp;$CR$1443&amp;" "," ")," "&amp;$CR$1444&amp;" "," ")),"")</f>
        <v xml:space="preserve"> yaourt </v>
      </c>
      <c r="BE11" s="209">
        <f>IF(11=11,IF($U11="","",SUMPRODUCT(--ISNUMBER(SEARCH(" "&amp;$CR$1445:$CR$1455&amp;" ",$BD11)))),"")</f>
        <v>0</v>
      </c>
      <c r="BF11" s="209" t="str">
        <f>IF(11=11,IF($U11="","",IF(BC11&gt;0,"X",IF(BE11&gt;0,"?",""))),"")</f>
        <v/>
      </c>
      <c r="BG11" s="209">
        <f>IF(11=11,IF($U11="","",SUMPRODUCT(--ISNUMBER(SEARCH(" "&amp;$CR$1456:$CR$1555&amp;" ",$BJ11)))),"")</f>
        <v>0</v>
      </c>
      <c r="BH11" s="209">
        <f>IF(11=11,IF($U11="","",SUMPRODUCT(--ISNUMBER(SEARCH(" "&amp;$CR$1556:$CR$1655&amp;" ",$BJ11)))),"")</f>
        <v>0</v>
      </c>
      <c r="BI11" s="209">
        <f>IF(11=11,IF($U11="","",SUMPRODUCT(--ISNUMBER(SEARCH(" "&amp;$CR$1656:$CR$1739&amp;" ",$BJ11)))),"")</f>
        <v>1</v>
      </c>
      <c r="BJ11" s="209" t="str">
        <f>IF(11=11,IF($U11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11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yaourt </v>
      </c>
      <c r="BK11" s="209">
        <f>IF(11=11,IF($U11="","",SUMPRODUCT(--ISNUMBER(SEARCH(" "&amp;$CR$1790:$CR$1869&amp;" ",$BL11)))+SUMPRODUCT(--ISNUMBER(SEARCH(" "&amp;$CR$2440:$CR$2453&amp;" ",$BL11)))),"")</f>
        <v>0</v>
      </c>
      <c r="BL11" s="209" t="str">
        <f>IF(11=11,IF($U11="","",SUBSTITUTE(SUBSTITUTE(SUBSTITUTE(SUBSTITUTE(SUBSTITUTE(SUBSTITUTE(SUBSTITUTE(SUBSTITUTE(SUBSTITUTE(SUBSTITUTE(SUBSTITUTE(SUBSTITUTE(SUBSTITUTE($BJ11,"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yaourt </v>
      </c>
      <c r="BM11" s="209" t="str">
        <f>IF(11=11,IF($U11="","",IF(SUM(BG11:BI11)+SUMPRODUCT(--ISNUMBER(SEARCH(" "&amp;$CR$2423:$CR$2424&amp;" ",$BJ11)))&gt;0,"X",IF(BK11&gt;0,"?",""))),"")</f>
        <v>X</v>
      </c>
      <c r="BN11" s="209">
        <f>IF(11=11,IF($U11="","",SUMPRODUCT(--ISNUMBER(SEARCH(" "&amp;$CR$1879:$CR$1936&amp;" ",$BO11)))),"")</f>
        <v>0</v>
      </c>
      <c r="BO11" s="209" t="str">
        <f>IF(11=11,IF($U11="","",SUBSTITUTE(SUBSTITUTE(SUBSTITUTE(SUBSTITUTE(SUBSTITUTE(SUBSTITUTE(SUBSTITUTE(SUBSTITUTE(SUBSTITUTE(SUBSTITUTE(SUBSTITUTE(SUBSTITUTE(SUBSTITUTE(SUBSTITUTE(SUBSTITUTE(SUBSTITUTE(SUBSTITUTE(SUBSTITUTE(SUBSTITUTE(SUBSTITUTE(SUBSTITUTE(SUBSTITUTE(SUBSTITUTE($AA11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yaourt </v>
      </c>
      <c r="BP11" s="209">
        <f>IF(11=11,IF($U11="","",SUMPRODUCT(--ISNUMBER(SEARCH(" "&amp;$CR$1960:$CR$1976&amp;" ",$BO11)))),"")</f>
        <v>0</v>
      </c>
      <c r="BQ11" s="209" t="str">
        <f>IF(11=11,IF($U11="","",IF(BN11&gt;0,"X",IF(BP11&gt;0,"?",""))),"")</f>
        <v/>
      </c>
      <c r="BR11" s="209">
        <f>IF(11=11,IF($U11="","",SUMPRODUCT(--ISNUMBER(SEARCH(" "&amp;$CR$1977:$CR$1990&amp;" ",$AA11)))),"")</f>
        <v>0</v>
      </c>
      <c r="BS11" s="209">
        <f>IF(11=11,IF($U11="","",SUMPRODUCT(--ISNUMBER(SEARCH(" "&amp;$CR$1991:$CR$2005&amp;" ",$AA11)))),"")</f>
        <v>0</v>
      </c>
      <c r="BT11" s="209" t="str">
        <f>IF(11=11,IF($U11="","",IF((BR11)-(0)&gt;0,"X",IF((BS11)-(0)&gt;0,"?",""))),"")</f>
        <v/>
      </c>
      <c r="BU11" s="209">
        <f>IF(11=11,IF($U11="","",SUMPRODUCT(--ISNUMBER(SEARCH(" "&amp;$CR$2006:$CR$2023&amp;" ",$AA11)))),"")</f>
        <v>0</v>
      </c>
      <c r="BV11" s="209">
        <f>IF(11=11,IF($U11="","",SUMPRODUCT(--ISNUMBER(SEARCH(" "&amp;$CR$2024:$CR$2038&amp;" ",$AA11)))),"")</f>
        <v>0</v>
      </c>
      <c r="BW11" s="209" t="str">
        <f>IF(11=11,IF($U11="","",IF((BU11)-(0)&gt;0,"X",IF((BV11)-(0)&gt;0,"?",""))),"")</f>
        <v/>
      </c>
      <c r="BX11" s="209">
        <f>IF(11=11,IF($U11="","",SUMPRODUCT(--ISNUMBER(SEARCH(" "&amp;$CR$2039:$CR$2057&amp;" ",$AA11)))),"")</f>
        <v>0</v>
      </c>
      <c r="BY11" s="209">
        <f>IF(11=11,IF($U11="","",SUMPRODUCT(--ISNUMBER(SEARCH(" "&amp;$CR$2058:$CR$2072&amp;" ",$AA11)))),"")</f>
        <v>0</v>
      </c>
      <c r="BZ11" s="209" t="str">
        <f>IF(11=11,IF($U11="","",IF((BX11)-(0)&gt;0,"X",IF((BY11)-(0)&gt;0,"?",""))),"")</f>
        <v/>
      </c>
      <c r="CA11" s="209">
        <f>IF(11=11,IF($U11="","",SUMPRODUCT(--ISNUMBER(SEARCH(" "&amp;$CR$2073:$CR$2093&amp;" ",$AA11)))),"")</f>
        <v>0</v>
      </c>
      <c r="CB11" s="209">
        <f>IF(11=11,IF($U11="","",SUMPRODUCT(--ISNUMBER(SEARCH(" "&amp;$CR$2094:$CR$2133&amp;" ",SUBSTITUTE(SUBSTITUTE($AA11," "&amp;$CR$1367&amp;" "," ")," "&amp;$CR$1366&amp;" "," "))))+--ISNUMBER(SEARCH("poiré",$V11))),"")</f>
        <v>0</v>
      </c>
      <c r="CC11" s="209" t="str">
        <f>IF(11=11,IF($U11="","",IF(OR(CA11&gt;0,ISNUMBER(SEARCH(" vinaigre de vin ",$AA11)),ISNUMBER(SEARCH(" vinaigre au vin ",$AA11))),"X",IF(CB11&gt;0,"?",""))),"")</f>
        <v/>
      </c>
      <c r="CD11" s="209">
        <f>IF(11=11,IF($U11="","",SUMPRODUCT(--ISNUMBER(SEARCH(" "&amp;$CR$2134:$CR$2146&amp;" ",$AA11)))),"")</f>
        <v>0</v>
      </c>
      <c r="CE11" s="209">
        <f>IF(11=11,IF($U11="","",SUMPRODUCT(--ISNUMBER(SEARCH(" "&amp;$CR$2147:$CR$2152&amp;" ",$AA11)))),"")</f>
        <v>0</v>
      </c>
      <c r="CF11" s="209" t="str">
        <f>IF(11=11,IF($U11="","",IF((CD11)-(0)&gt;0,"X",IF((CE11)-(0)&gt;0,"?",""))),"")</f>
        <v/>
      </c>
      <c r="CG11" s="209">
        <f>IF(11=11,IF($U11="","",SUMPRODUCT(--ISNUMBER(SEARCH(" "&amp;$CR$2153:$CR$2252&amp;" ",$CJ11)))),"")</f>
        <v>0</v>
      </c>
      <c r="CH11" s="209">
        <f>IF(11=11,IF($U11="","",SUMPRODUCT(--ISNUMBER(SEARCH(" "&amp;$CR$2253:$CR$2352&amp;" ",$CJ11)))),"")</f>
        <v>0</v>
      </c>
      <c r="CI11" s="209">
        <f>IF(11=11,IF($U11="","",SUMPRODUCT(--ISNUMBER(SEARCH(" "&amp;$CR$2353:$CR$2395&amp;" ",$CJ11)))),"")</f>
        <v>0</v>
      </c>
      <c r="CJ11" s="209" t="str">
        <f>IF(11=11,IF($U11="","",SUBSTITUTE(SUBSTITUTE(SUBSTITUTE(SUBSTITUTE(SUBSTITUTE(SUBSTITUTE(SUBSTITUTE(SUBSTITUTE(SUBSTITUTE(SUBSTITUTE(SUBSTITUTE(SUBSTITUTE(SUBSTITUTE(SUBSTITUTE(SUBSTITUTE(SUBSTITUTE($AA11,"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yaourt </v>
      </c>
      <c r="CK11" s="209">
        <f>IF(11=11,IF($U11="","",SUMPRODUCT(--ISNUMBER(SEARCH(" "&amp;$CR$2412:$CR$2416&amp;" ",$CJ11)))),"")</f>
        <v>0</v>
      </c>
      <c r="CL11" s="209" t="str">
        <f>IF(11=11,IF($U11="","",IF(SUM(CG11:CI11)&gt;0,"X",IF(CK11&gt;0,"?",""))),"")</f>
        <v/>
      </c>
      <c r="CM11" s="210"/>
      <c r="CN11" s="213" t="s">
        <v>987</v>
      </c>
      <c r="CO11" s="213" t="s">
        <v>878</v>
      </c>
      <c r="CP11" s="213" t="s">
        <v>879</v>
      </c>
      <c r="CQ11" s="213" t="s">
        <v>988</v>
      </c>
      <c r="CR11" s="213" t="s">
        <v>988</v>
      </c>
      <c r="CS11" s="213" t="s">
        <v>881</v>
      </c>
      <c r="CT11" s="213" t="s">
        <v>882</v>
      </c>
      <c r="CU11" s="213" t="s">
        <v>883</v>
      </c>
      <c r="CV11" s="214" t="s">
        <v>884</v>
      </c>
      <c r="CX11" s="212">
        <v>1</v>
      </c>
    </row>
    <row r="12" spans="1:102" ht="21" customHeight="1">
      <c r="A12" s="229">
        <v>6</v>
      </c>
      <c r="B12" s="230" t="s">
        <v>6447</v>
      </c>
      <c r="C12" s="231" t="str">
        <f t="shared" si="0"/>
        <v>Blanc d'œuf *</v>
      </c>
      <c r="D12" s="232" t="str">
        <f>IF(12=12,IF($B12="","",IF(E12="X",""&amp;"Céréales contenant du gluten","")&amp;IF(F12="X",IF(COUNTIF($E12:$E12,"X")&gt;0,", ","")&amp;"Crustacés","")&amp;IF(G12="X",IF(COUNTIF($E12:$F12,"X")&gt;0,", ","")&amp;"Œufs","")&amp;IF(H12="X",IF(COUNTIF($E12:$G12,"X")&gt;0,", ","")&amp;"Poissons","")&amp;IF(I12="X",IF(COUNTIF($E12:$H12,"X")&gt;0,", ","")&amp;"Arachides","")&amp;IF(J12="X",IF(COUNTIF($E12:$I12,"X")&gt;0,", ","")&amp;"Soja","")&amp;IF(K12="X",IF(COUNTIF($E12:$J12,"X")&gt;0,", ","")&amp;"Lait","")&amp;IF(L12="X",IF(COUNTIF($E12:$K12,"X")&gt;0,", ","")&amp;"Fruits à coque","")&amp;IF(M12="X",IF(COUNTIF($E12:$L12,"X")&gt;0,", ","")&amp;"Céleri","")&amp;IF(N12="X",IF(COUNTIF($E12:$M12,"X")&gt;0,", ","")&amp;"Moutarde","")&amp;IF(O12="X",IF(COUNTIF($E12:$N12,"X")&gt;0,", ","")&amp;"Sésame","")&amp;IF(P12="X",IF(COUNTIF($E12:$O12,"X")&gt;0,", ","")&amp;"Sulfites","")&amp;IF(Q12="X",IF(COUNTIF($E12:$P12,"X")&gt;0,", ","")&amp;"Lupin","")&amp;IF(R12="X",IF(COUNTIF($E12:$Q12,"X")&gt;0,", ","")&amp;"Mollusques","")),"")</f>
        <v>Œufs</v>
      </c>
      <c r="E12" s="233" t="str">
        <f>IF(12=12,IF($B12="","",IF(OR(ISNUMBER(SEARCH(" biere sans gluten ",$AA12)),ISNUMBER(SEARCH(" gluten free beer ",$AA12)),ISNUMBER(SEARCH(" beer gluten free ",$AA12))),"",IF(AF12="X","X",IF(OR(AF12="?",OR(ISNUMBER(SEARCH(" worcestershire ",$AA12)),ISNUMBER(SEARCH(" bloody mary ",$AA12)))),"?","")))),"")</f>
        <v/>
      </c>
      <c r="F12" s="233" t="str">
        <f>IF(12=12,IF($B12="","",AI12),"")</f>
        <v/>
      </c>
      <c r="G12" s="233" t="str">
        <f>IF(12=12,IF($B12="","",IF(OR(TRIM($AA12)="puree pate d amande",TRIM($AA12)="pate puree d amande",TRIM($AA12)="puree d amande",TRIM($AA12)="pate d amande",TRIM($AA12)="pate puree de noisette",TRIM($AA12)="puree pate de noisette",TRIM($AA12)="puree de noisette",TRIM($AA12)="pate de noisette"),"",IF(OR(AM12="X",OR(ISNUMBER(SEARCH(" macaron ",$AA12)),ISNUMBER(SEARCH(" egg nog ",$AA12)),ISNUMBER(SEARCH(" eggnog ",$AA12)))),"X",IF(OR(AM12="?",OR(ISNUMBER(SEARCH(" biscuit decoratif ",$AA12)),ISNUMBER(SEARCH(" whisky sour ",$AA12)),ISNUMBER(SEARCH(" whiskey sour ",$AA12)),ISNUMBER(SEARCH(" amaretto sour ",$AA12)),ISNUMBER(SEARCH(" pisco sour ",$AA12)),ISNUMBER(SEARCH(" clover club ",$AA12)),ISNUMBER(SEARCH(" ramos gin fizz ",$AA12)))),"?","")))),"")</f>
        <v>X</v>
      </c>
      <c r="H12" s="233" t="str">
        <f>IF(12=12,IF($B12="","",IF(ISNUMBER(SEARCH(" colin ",$AA12)),"X",IF(AZ12="X","X",IF(OR(AZ12="?",OR(ISNUMBER(SEARCH(" worcestershire ",$AA12)),ISNUMBER(SEARCH(" bloody mary ",$AA12)))),"?","")))),"")</f>
        <v/>
      </c>
      <c r="I12" s="233" t="str">
        <f>IF(12=12,IF($B12="","",BB12),"")</f>
        <v/>
      </c>
      <c r="J12" s="233" t="str">
        <f>IF(12=12,IF($B12="","",BF12),"")</f>
        <v/>
      </c>
      <c r="K12" s="233" t="str">
        <f>IF(12=12,IF($B12="","",IF(OR(OR(TRIM($AA12)="puree pate d amande",TRIM($AA12)="pate puree d amande",TRIM($AA12)="puree d amande",TRIM($AA12)="pate d amande",TRIM($AA12)="pate puree de noisette",TRIM($AA12)="puree pate de noisette",TRIM($AA12)="puree de noisette",TRIM($AA12)="pate de noisette"),OR(TRIM($AA12)="beurre puree d arachide",TRIM($AA12)="beurre d arachide",TRIM($AA12)="puree d arachide"),OR(TRIM($AA12)="tahini puree de sesame",TRIM($AA12)="tahini",TRIM($AA12)="puree de sesame")),"",IF(OR(TRIM($AA12)="creme de cassis",TRIM($AA12)="creme de menthe",TRIM($AA12)="creme de cacao",TRIM($AA12)="creme de mure",TRIM($AA12)="creme de framboise",TRIM($AA12)="creme de peche",TRIM($AA12)="creme de banane",TRIM($AA12)="liqueur creme de coco",TRIM($AA12)="creme de coco",TRIM($AA12)="spiritueux aromatise arrange creme de spiritueux"),"?",IF(OR(BM12="X",OR(ISNUMBER(SEARCH(" baileys ",$AA12)),ISNUMBER(SEARCH(" irish cream ",$AA12)),ISNUMBER(SEARCH(" creme de whisky ",$AA12)))),"X",IF(OR(BM12="?",OR(OR(TRIM($AA12)="creme de cassis",TRIM($AA12)="creme de menthe",TRIM($AA12)="creme de cacao",TRIM($AA12)="creme de mure",TRIM($AA12)="creme de framboise",TRIM($AA12)="creme de peche",TRIM($AA12)="creme de banane",TRIM($AA12)="liqueur creme de coco",TRIM($AA12)="creme de coco",TRIM($AA12)="spiritueux aromatise arrange creme de spiritueux"),ISNUMBER(SEARCH(" advocaat ",$AA12)),ISNUMBER(SEARCH(" liqueur aux oeufs ",$AA12)),ISNUMBER(SEARCH(" liqueur de chocolat ",$AA12)),ISNUMBER(SEARCH(" liqueur de caramel ",$AA12)),ISNUMBER(SEARCH(" sauce nappage chocolat ",$AA12)),ISNUMBER(SEARCH(" biscuit decoratif ",$AA12)),ISNUMBER(SEARCH(" white russian ",$AA12)),ISNUMBER(SEARCH(" grasshopper ",$AA12)),ISNUMBER(SEARCH(" irish coffee ",$AA12)),ISNUMBER(SEARCH(" ramos gin fizz ",$AA12)),ISNUMBER(SEARCH(" egg nog ",$AA12)),ISNUMBER(SEARCH(" eggnog ",$AA12)))),"?",""))))),"")</f>
        <v/>
      </c>
      <c r="L12" s="233" t="str">
        <f>IF(12=12,IF($B12="","",IF(OR(BQ12="X",OR(OR(TRIM($AA12)="puree pate d amande",TRIM($AA12)="pate puree d amande",TRIM($AA12)="puree d amande",TRIM($AA12)="pate d amande",TRIM($AA12)="pate puree de noisette",TRIM($AA12)="puree pate de noisette",TRIM($AA12)="puree de noisette",TRIM($AA12)="pate de noisette"),ISNUMBER(SEARCH(" macaron ",$AA12)),TRIM($AA12)="fruits a coque")),"X",IF(OR(BQ12="?",OR(ISNUMBER(SEARCH(" sirop d orgeat ",$AA12)),ISNUMBER(SEARCH(" orgeat ",$AA12)),ISNUMBER(SEARCH(" amaretto ",$AA12)))),"?",""))),"")</f>
        <v/>
      </c>
      <c r="M12" s="233" t="str">
        <f>IF(12=12,IF($B12="","",IF(OR(OR(TRIM($AA12)="puree pate d amande",TRIM($AA12)="pate puree d amande",TRIM($AA12)="puree d amande",TRIM($AA12)="pate d amande",TRIM($AA12)="pate puree de noisette",TRIM($AA12)="puree pate de noisette",TRIM($AA12)="puree de noisette",TRIM($AA12)="pate de noisette"),OR(TRIM($AA12)="tahini puree de sesame",TRIM($AA12)="tahini",TRIM($AA12)="puree de sesame")),"",IF(BT12="X","X",IF(OR(BT12="?",ISNUMBER(SEARCH(" bloody mary ",$AA12))),"?","")))),"")</f>
        <v/>
      </c>
      <c r="N12" s="233" t="str">
        <f>IF(12=12,IF($B12="","",IF(OR(OR(TRIM($AA12)="puree pate d amande",TRIM($AA12)="pate puree d amande",TRIM($AA12)="puree d amande",TRIM($AA12)="pate d amande",TRIM($AA12)="pate puree de noisette",TRIM($AA12)="puree pate de noisette",TRIM($AA12)="puree de noisette",TRIM($AA12)="pate de noisette"),OR(TRIM($AA12)="tahini puree de sesame",TRIM($AA12)="tahini",TRIM($AA12)="puree de sesame")),"",IF(BW12="X","X",IF(OR(BW12="?",ISNUMBER(SEARCH(" bloody mary ",$AA12))),"?","")))),"")</f>
        <v/>
      </c>
      <c r="O12" s="233" t="str">
        <f>IF(12=12,IF($B12="","",BZ12),"")</f>
        <v/>
      </c>
      <c r="P12" s="233" t="str">
        <f>IF(12=12,IF($B12="","",CC12),"")</f>
        <v/>
      </c>
      <c r="Q12" s="233" t="str">
        <f>IF(12=12,IF($B12="","",CF12),"")</f>
        <v/>
      </c>
      <c r="R12" s="233" t="str">
        <f>IF(12=12,IF($B12="","",IF(TRIM($AA12)="fruits a coque","",IF(CL12="X","X",IF(OR(CL12="?",OR(ISNUMBER(SEARCH(" clamato ",$AA12)),ISNUMBER(SEARCH(" bloody caesar ",$AA12)))),"?","")))),"")</f>
        <v/>
      </c>
      <c r="S12" s="234" t="str">
        <f>IF(12=12,IF($B12="","",IF(E12="?",""&amp;"Céréales contenant du gluten","")&amp;IF(F12="?",IF(COUNTIF($E12:$E12,"~?")&gt;0,", ","")&amp;"Crustacés","")&amp;IF(G12="?",IF(COUNTIF($E12:$F12,"~?")&gt;0,", ","")&amp;"Œufs","")&amp;IF(H12="?",IF(COUNTIF($E12:$G12,"~?")&gt;0,", ","")&amp;"Poissons","")&amp;IF(I12="?",IF(COUNTIF($E12:$H12,"~?")&gt;0,", ","")&amp;"Arachides","")&amp;IF(J12="?",IF(COUNTIF($E12:$I12,"~?")&gt;0,", ","")&amp;"Soja","")&amp;IF(K12="?",IF(COUNTIF($E12:$J12,"~?")&gt;0,", ","")&amp;"Lait","")&amp;IF(L12="?",IF(COUNTIF($E12:$K12,"~?")&gt;0,", ","")&amp;"Fruits à coque","")&amp;IF(M12="?",IF(COUNTIF($E12:$L12,"~?")&gt;0,", ","")&amp;"Céleri","")&amp;IF(N12="?",IF(COUNTIF($E12:$M12,"~?")&gt;0,", ","")&amp;"Moutarde","")&amp;IF(O12="?",IF(COUNTIF($E12:$N12,"~?")&gt;0,", ","")&amp;"Sésame","")&amp;IF(P12="?",IF(COUNTIF($E12:$O12,"~?")&gt;0,", ","")&amp;"Sulfites","")&amp;IF(Q12="?",IF(COUNTIF($E12:$P12,"~?")&gt;0,", ","")&amp;"Lupin","")&amp;IF(R12="?",IF(COUNTIF($E12:$Q12,"~?")&gt;0,", ","")&amp;"Mollusques","")),"")</f>
        <v/>
      </c>
      <c r="U12" s="209" t="str">
        <f>IF(12=12,IF($B12="","",$B12),"")</f>
        <v>Blanc d'œuf</v>
      </c>
      <c r="V12" s="209" t="str">
        <f>IF(12=12,LOWER(CLEAN(SUBSTITUTE(SUBSTITUTE(SUBSTITUTE(SUBSTITUTE($U12,CHAR(160)," ")," "," "),CHAR(10)," "),CHAR(13)," "))),"")</f>
        <v>blanc d'œuf</v>
      </c>
      <c r="W12" s="209" t="str">
        <f>IF(12=12,SUBSTITUTE(SUBSTITUTE(SUBSTITUTE(SUBSTITUTE(SUBSTITUTE(SUBSTITUTE(SUBSTITUTE(SUBSTITUTE(SUBSTITUTE(SUBSTITUTE(SUBSTITUTE(SUBSTITUTE($V12,"œ","oe"),"æ","ae"),"à","a"),"á","a"),"â","a"),"ä","a"),"ã","a"),"ç","c"),"è","e"),"é","e"),"ê","e"),"ë","e"),"")</f>
        <v>blanc d'oeuf</v>
      </c>
      <c r="X12" s="209" t="str">
        <f>IF(12=12,SUBSTITUTE(SUBSTITUTE(SUBSTITUTE(SUBSTITUTE(SUBSTITUTE(SUBSTITUTE(SUBSTITUTE(SUBSTITUTE(SUBSTITUTE(SUBSTITUTE(SUBSTITUTE(SUBSTITUTE(SUBSTITUTE(SUBSTITUTE(SUBSTITUTE(SUBSTITUTE($W12,"ì","i"),"í","i"),"î","i"),"ï","i"),"ñ","n"),"ò","o"),"ó","o"),"ô","o"),"ö","o"),"õ","o"),"ù","u"),"ú","u"),"û","u"),"ü","u"),"ý","y"),"ÿ","y"),"")</f>
        <v>blanc d'oeuf</v>
      </c>
      <c r="Y12" s="209" t="str">
        <f>IF(12=12,SUBSTITUTE(SUBSTITUTE(SUBSTITUTE(SUBSTITUTE(SUBSTITUTE(SUBSTITUTE(SUBSTITUTE(SUBSTITUTE(SUBSTITUTE(SUBSTITUTE(SUBSTITUTE(SUBSTITUTE(SUBSTITUTE(SUBSTITUTE($X12,"’"," "),"`"," "),"–"," "),"—"," "),"-"," "),"'"," "),"/"," "),"_"," "),","," "),"."," "),"("," "),")"," "),";"," "),":"," "),"")</f>
        <v>blanc d oeuf</v>
      </c>
      <c r="Z12" s="209" t="str">
        <f>IF(12=12,SUBSTITUTE(SUBSTITUTE(SUBSTITUTE(SUBSTITUTE(SUBSTITUTE(SUBSTITUTE(SUBSTITUTE(SUBSTITUTE(SUBSTITUTE(SUBSTITUTE(SUBSTITUTE(SUBSTITUTE(SUBSTITUTE(SUBSTITUTE(SUBSTITUTE($Y12,"!"," "),"?"," "),"+"," "),"*"," "),"&amp;"," "),"["," "),"]"," "),"{"," "),"}"," "),"%"," "),"="," "),"\"," "),"|"," "),"&lt;"," "),"&gt;"," "),"")</f>
        <v>blanc d oeuf</v>
      </c>
      <c r="AA12" s="209" t="str">
        <f>IF(12=12," "&amp;TRIM(SUBSTITUTE(SUBSTITUTE(SUBSTITUTE(SUBSTITUTE(SUBSTITUTE(SUBSTITUTE($Z12,CHAR(34)," "),"  "," "),"  "," "),"  "," "),"  "," "),"  "," "))&amp;" ","")</f>
        <v xml:space="preserve"> blanc d oeuf </v>
      </c>
      <c r="AB12" s="209">
        <f>IF(12=12,IF($U12="","",SUMPRODUCT(--ISNUMBER(SEARCH(" "&amp;$CR$2:$CR$101&amp;" ",$AD12)))),"")</f>
        <v>0</v>
      </c>
      <c r="AC12" s="209">
        <f>IF(12=12,IF($U12="","",SUMPRODUCT(--ISNUMBER(SEARCH(" "&amp;$CR$102:$CR$151&amp;" ",$AD12)))),"")</f>
        <v>0</v>
      </c>
      <c r="AD12" s="209" t="str">
        <f t="shared" si="1"/>
        <v xml:space="preserve"> blanc d oeuf </v>
      </c>
      <c r="AE12" s="209">
        <f t="shared" si="2"/>
        <v>0</v>
      </c>
      <c r="AF12" s="209" t="str">
        <f>IF(12=12,IF($U12="","",IF(SUM(AB12:AC12)+SUMPRODUCT(--ISNUMBER(SEARCH(" "&amp;$CR$2418:$CR$2420&amp;" ",$AD12)))&gt;0,"X",IF(AE12&gt;0,"?",""))),"")</f>
        <v/>
      </c>
      <c r="AG12" s="209">
        <f>IF(12=12,IF($U12="","",SUMPRODUCT(--ISNUMBER(SEARCH(" "&amp;$CR$206:$CR$305&amp;" ",$AA12)))),"")</f>
        <v>0</v>
      </c>
      <c r="AH12" s="209">
        <f>IF(12=12,IF($U12="","",SUMPRODUCT(--ISNUMBER(SEARCH(" "&amp;$CR$306:$CR$340&amp;" ",$AA12)))),"")</f>
        <v>0</v>
      </c>
      <c r="AI12" s="209" t="str">
        <f>IF(12=12,IF($U12="","",IF((SUM(AG12:AH12))-(0)&gt;0,"X",IF((0)-(0)&gt;0,"?",""))),"")</f>
        <v/>
      </c>
      <c r="AJ12" s="209">
        <f>IF(12=12,IF($U12="","",SUMPRODUCT(--ISNUMBER(SEARCH(" "&amp;$CR$341:$CR$398&amp;" ",$AA12)))),"")</f>
        <v>2</v>
      </c>
      <c r="AK12" s="209">
        <f>IF(12=12,IF($U12="","",SUMPRODUCT(--ISNUMBER(SEARCH(" "&amp;$CR$399:$CR$426&amp;" ",$AL12)))+SUMPRODUCT(--ISNUMBER(SEARCH(" "&amp;$CR$2440:$CR$2453&amp;" ",$AL12)))),"")</f>
        <v>0</v>
      </c>
      <c r="AL12" s="209" t="str">
        <f>IF(12=12,IF($U12="","",SUBSTITUTE(SUBSTITUTE(SUBSTITUTE(SUBSTITUTE(SUBSTITUTE(SUBSTITUTE(SUBSTITUTE(SUBSTITUTE(SUBSTITUTE(SUBSTITUTE(SUBSTITUTE(SUBSTITUTE(SUBSTITUTE(SUBSTITUTE($AA12,"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blanc d oeuf </v>
      </c>
      <c r="AM12" s="209" t="str">
        <f>IF(12=12,IF($U12="","",IF(AJ12&gt;0,"X",IF(AK12&gt;0,"?",""))),"")</f>
        <v>X</v>
      </c>
      <c r="AN12" s="209">
        <f>IF(12=12,IF($U12="","",SUMPRODUCT(--ISNUMBER(SEARCH(" "&amp;$CR$436:$CR$535&amp;" ",$AX12)))),"")</f>
        <v>0</v>
      </c>
      <c r="AO12" s="209">
        <f>IF(12=12,IF($U12="","",SUMPRODUCT(--ISNUMBER(SEARCH(" "&amp;$CR$536:$CR$635&amp;" ",$AX12)))),"")</f>
        <v>0</v>
      </c>
      <c r="AP12" s="209">
        <f>IF(12=12,IF($U12="","",SUMPRODUCT(--ISNUMBER(SEARCH(" "&amp;$CR$636:$CR$735&amp;" ",$AX12)))),"")</f>
        <v>0</v>
      </c>
      <c r="AQ12" s="209">
        <f>IF(12=12,IF($U12="","",SUMPRODUCT(--ISNUMBER(SEARCH(" "&amp;$CR$736:$CR$835&amp;" ",$AX12)))),"")</f>
        <v>0</v>
      </c>
      <c r="AR12" s="209">
        <f>IF(12=12,IF($U12="","",SUMPRODUCT(--ISNUMBER(SEARCH(" "&amp;$CR$836:$CR$935&amp;" ",$AX12)))),"")</f>
        <v>0</v>
      </c>
      <c r="AS12" s="209">
        <f>IF(12=12,IF($U12="","",SUMPRODUCT(--ISNUMBER(SEARCH(" "&amp;$CR$936:$CR$1035&amp;" ",$AX12)))),"")</f>
        <v>0</v>
      </c>
      <c r="AT12" s="209">
        <f>IF(12=12,IF($U12="","",SUMPRODUCT(--ISNUMBER(SEARCH(" "&amp;$CR$1036:$CR$1135&amp;" ",$AX12)))),"")</f>
        <v>0</v>
      </c>
      <c r="AU12" s="209">
        <f>IF(12=12,IF($U12="","",SUMPRODUCT(--ISNUMBER(SEARCH(" "&amp;$CR$1136:$CR$1235&amp;" ",$AX12)))),"")</f>
        <v>0</v>
      </c>
      <c r="AV12" s="209">
        <f>IF(12=12,IF($U12="","",SUMPRODUCT(--ISNUMBER(SEARCH(" "&amp;$CR$1236:$CR$1335&amp;" ",$AX12)))),"")</f>
        <v>0</v>
      </c>
      <c r="AW12" s="209">
        <f>IF(12=12,IF($U12="","",SUMPRODUCT(--ISNUMBER(SEARCH(" "&amp;$CR$1336:$CR$1363&amp;" ",$AX12)))),"")</f>
        <v>0</v>
      </c>
      <c r="AX12" s="209" t="str">
        <f>IF(12=12,IF($U12="","",SUBSTITUTE(SUBSTITUTE(SUBSTITUTE(SUBSTITUTE(SUBSTITUTE(SUBSTITUTE(SUBSTITUTE(SUBSTITUTE(SUBSTITUTE($AA12,"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blanc d oeuf </v>
      </c>
      <c r="AY12" s="209">
        <f>IF(12=12,IF($U12="","",SUMPRODUCT(--ISNUMBER(SEARCH(" "&amp;$CR$1373:$CR$1383&amp;" ",$AX12)))),"")</f>
        <v>0</v>
      </c>
      <c r="AZ12" s="209" t="str">
        <f>IF(12=12,IF($U12="","",IF(SUM(AN12:AW12)+SUMPRODUCT(--ISNUMBER(SEARCH(" "&amp;$CR$2421:$CR$2422&amp;" ",$AX12)))&gt;0,"X",IF(AY12&gt;0,"?",""))),"")</f>
        <v/>
      </c>
      <c r="BA12" s="209">
        <f>IF(12=12,IF($U12="","",SUMPRODUCT(--ISNUMBER(SEARCH(" "&amp;$CR$1384:$CR$1404&amp;" ",$AA12)))),"")</f>
        <v>0</v>
      </c>
      <c r="BB12" s="209" t="str">
        <f>IF(12=12,IF($U12="","",IF((BA12)-(0)&gt;0,"X",IF((0)-(0)&gt;0,"?",""))),"")</f>
        <v/>
      </c>
      <c r="BC12" s="209">
        <f>IF(12=12,IF($U12="","",SUMPRODUCT(--ISNUMBER(SEARCH(" "&amp;$CR$1405:$CR$1442&amp;" ",$BD12)))),"")</f>
        <v>0</v>
      </c>
      <c r="BD12" s="209" t="str">
        <f>IF(12=12,IF($U12="","",SUBSTITUTE(SUBSTITUTE($AA12," "&amp;$CR$1443&amp;" "," ")," "&amp;$CR$1444&amp;" "," ")),"")</f>
        <v xml:space="preserve"> blanc d oeuf </v>
      </c>
      <c r="BE12" s="209">
        <f>IF(12=12,IF($U12="","",SUMPRODUCT(--ISNUMBER(SEARCH(" "&amp;$CR$1445:$CR$1455&amp;" ",$BD12)))),"")</f>
        <v>0</v>
      </c>
      <c r="BF12" s="209" t="str">
        <f>IF(12=12,IF($U12="","",IF(BC12&gt;0,"X",IF(BE12&gt;0,"?",""))),"")</f>
        <v/>
      </c>
      <c r="BG12" s="209">
        <f>IF(12=12,IF($U12="","",SUMPRODUCT(--ISNUMBER(SEARCH(" "&amp;$CR$1456:$CR$1555&amp;" ",$BJ12)))),"")</f>
        <v>0</v>
      </c>
      <c r="BH12" s="209">
        <f>IF(12=12,IF($U12="","",SUMPRODUCT(--ISNUMBER(SEARCH(" "&amp;$CR$1556:$CR$1655&amp;" ",$BJ12)))),"")</f>
        <v>0</v>
      </c>
      <c r="BI12" s="209">
        <f>IF(12=12,IF($U12="","",SUMPRODUCT(--ISNUMBER(SEARCH(" "&amp;$CR$1656:$CR$1739&amp;" ",$BJ12)))),"")</f>
        <v>0</v>
      </c>
      <c r="BJ12" s="209" t="str">
        <f>IF(12=12,IF($U12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12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blanc d oeuf </v>
      </c>
      <c r="BK12" s="209">
        <f>IF(12=12,IF($U12="","",SUMPRODUCT(--ISNUMBER(SEARCH(" "&amp;$CR$1790:$CR$1869&amp;" ",$BL12)))+SUMPRODUCT(--ISNUMBER(SEARCH(" "&amp;$CR$2440:$CR$2453&amp;" ",$BL12)))),"")</f>
        <v>0</v>
      </c>
      <c r="BL12" s="209" t="str">
        <f>IF(12=12,IF($U12="","",SUBSTITUTE(SUBSTITUTE(SUBSTITUTE(SUBSTITUTE(SUBSTITUTE(SUBSTITUTE(SUBSTITUTE(SUBSTITUTE(SUBSTITUTE(SUBSTITUTE(SUBSTITUTE(SUBSTITUTE(SUBSTITUTE($BJ12,"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blanc d oeuf </v>
      </c>
      <c r="BM12" s="209" t="str">
        <f>IF(12=12,IF($U12="","",IF(SUM(BG12:BI12)+SUMPRODUCT(--ISNUMBER(SEARCH(" "&amp;$CR$2423:$CR$2424&amp;" ",$BJ12)))&gt;0,"X",IF(BK12&gt;0,"?",""))),"")</f>
        <v/>
      </c>
      <c r="BN12" s="209">
        <f>IF(12=12,IF($U12="","",SUMPRODUCT(--ISNUMBER(SEARCH(" "&amp;$CR$1879:$CR$1936&amp;" ",$BO12)))),"")</f>
        <v>0</v>
      </c>
      <c r="BO12" s="209" t="str">
        <f>IF(12=12,IF($U12="","",SUBSTITUTE(SUBSTITUTE(SUBSTITUTE(SUBSTITUTE(SUBSTITUTE(SUBSTITUTE(SUBSTITUTE(SUBSTITUTE(SUBSTITUTE(SUBSTITUTE(SUBSTITUTE(SUBSTITUTE(SUBSTITUTE(SUBSTITUTE(SUBSTITUTE(SUBSTITUTE(SUBSTITUTE(SUBSTITUTE(SUBSTITUTE(SUBSTITUTE(SUBSTITUTE(SUBSTITUTE(SUBSTITUTE($AA12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blanc d oeuf </v>
      </c>
      <c r="BP12" s="209">
        <f>IF(12=12,IF($U12="","",SUMPRODUCT(--ISNUMBER(SEARCH(" "&amp;$CR$1960:$CR$1976&amp;" ",$BO12)))),"")</f>
        <v>0</v>
      </c>
      <c r="BQ12" s="209" t="str">
        <f>IF(12=12,IF($U12="","",IF(BN12&gt;0,"X",IF(BP12&gt;0,"?",""))),"")</f>
        <v/>
      </c>
      <c r="BR12" s="209">
        <f>IF(12=12,IF($U12="","",SUMPRODUCT(--ISNUMBER(SEARCH(" "&amp;$CR$1977:$CR$1990&amp;" ",$AA12)))),"")</f>
        <v>0</v>
      </c>
      <c r="BS12" s="209">
        <f>IF(12=12,IF($U12="","",SUMPRODUCT(--ISNUMBER(SEARCH(" "&amp;$CR$1991:$CR$2005&amp;" ",$AA12)))),"")</f>
        <v>0</v>
      </c>
      <c r="BT12" s="209" t="str">
        <f>IF(12=12,IF($U12="","",IF((BR12)-(0)&gt;0,"X",IF((BS12)-(0)&gt;0,"?",""))),"")</f>
        <v/>
      </c>
      <c r="BU12" s="209">
        <f>IF(12=12,IF($U12="","",SUMPRODUCT(--ISNUMBER(SEARCH(" "&amp;$CR$2006:$CR$2023&amp;" ",$AA12)))),"")</f>
        <v>0</v>
      </c>
      <c r="BV12" s="209">
        <f>IF(12=12,IF($U12="","",SUMPRODUCT(--ISNUMBER(SEARCH(" "&amp;$CR$2024:$CR$2038&amp;" ",$AA12)))),"")</f>
        <v>0</v>
      </c>
      <c r="BW12" s="209" t="str">
        <f>IF(12=12,IF($U12="","",IF((BU12)-(0)&gt;0,"X",IF((BV12)-(0)&gt;0,"?",""))),"")</f>
        <v/>
      </c>
      <c r="BX12" s="209">
        <f>IF(12=12,IF($U12="","",SUMPRODUCT(--ISNUMBER(SEARCH(" "&amp;$CR$2039:$CR$2057&amp;" ",$AA12)))),"")</f>
        <v>0</v>
      </c>
      <c r="BY12" s="209">
        <f>IF(12=12,IF($U12="","",SUMPRODUCT(--ISNUMBER(SEARCH(" "&amp;$CR$2058:$CR$2072&amp;" ",$AA12)))),"")</f>
        <v>0</v>
      </c>
      <c r="BZ12" s="209" t="str">
        <f>IF(12=12,IF($U12="","",IF((BX12)-(0)&gt;0,"X",IF((BY12)-(0)&gt;0,"?",""))),"")</f>
        <v/>
      </c>
      <c r="CA12" s="209">
        <f>IF(12=12,IF($U12="","",SUMPRODUCT(--ISNUMBER(SEARCH(" "&amp;$CR$2073:$CR$2093&amp;" ",$AA12)))),"")</f>
        <v>0</v>
      </c>
      <c r="CB12" s="209">
        <f>IF(12=12,IF($U12="","",SUMPRODUCT(--ISNUMBER(SEARCH(" "&amp;$CR$2094:$CR$2133&amp;" ",SUBSTITUTE(SUBSTITUTE($AA12," "&amp;$CR$1367&amp;" "," ")," "&amp;$CR$1366&amp;" "," "))))+--ISNUMBER(SEARCH("poiré",$V12))),"")</f>
        <v>0</v>
      </c>
      <c r="CC12" s="209" t="str">
        <f>IF(12=12,IF($U12="","",IF(OR(CA12&gt;0,ISNUMBER(SEARCH(" vinaigre de vin ",$AA12)),ISNUMBER(SEARCH(" vinaigre au vin ",$AA12))),"X",IF(CB12&gt;0,"?",""))),"")</f>
        <v/>
      </c>
      <c r="CD12" s="209">
        <f>IF(12=12,IF($U12="","",SUMPRODUCT(--ISNUMBER(SEARCH(" "&amp;$CR$2134:$CR$2146&amp;" ",$AA12)))),"")</f>
        <v>0</v>
      </c>
      <c r="CE12" s="209">
        <f>IF(12=12,IF($U12="","",SUMPRODUCT(--ISNUMBER(SEARCH(" "&amp;$CR$2147:$CR$2152&amp;" ",$AA12)))),"")</f>
        <v>0</v>
      </c>
      <c r="CF12" s="209" t="str">
        <f>IF(12=12,IF($U12="","",IF((CD12)-(0)&gt;0,"X",IF((CE12)-(0)&gt;0,"?",""))),"")</f>
        <v/>
      </c>
      <c r="CG12" s="209">
        <f>IF(12=12,IF($U12="","",SUMPRODUCT(--ISNUMBER(SEARCH(" "&amp;$CR$2153:$CR$2252&amp;" ",$CJ12)))),"")</f>
        <v>0</v>
      </c>
      <c r="CH12" s="209">
        <f>IF(12=12,IF($U12="","",SUMPRODUCT(--ISNUMBER(SEARCH(" "&amp;$CR$2253:$CR$2352&amp;" ",$CJ12)))),"")</f>
        <v>0</v>
      </c>
      <c r="CI12" s="209">
        <f>IF(12=12,IF($U12="","",SUMPRODUCT(--ISNUMBER(SEARCH(" "&amp;$CR$2353:$CR$2395&amp;" ",$CJ12)))),"")</f>
        <v>0</v>
      </c>
      <c r="CJ12" s="209" t="str">
        <f>IF(12=12,IF($U12="","",SUBSTITUTE(SUBSTITUTE(SUBSTITUTE(SUBSTITUTE(SUBSTITUTE(SUBSTITUTE(SUBSTITUTE(SUBSTITUTE(SUBSTITUTE(SUBSTITUTE(SUBSTITUTE(SUBSTITUTE(SUBSTITUTE(SUBSTITUTE(SUBSTITUTE(SUBSTITUTE($AA12,"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blanc d oeuf </v>
      </c>
      <c r="CK12" s="209">
        <f>IF(12=12,IF($U12="","",SUMPRODUCT(--ISNUMBER(SEARCH(" "&amp;$CR$2412:$CR$2416&amp;" ",$CJ12)))),"")</f>
        <v>0</v>
      </c>
      <c r="CL12" s="209" t="str">
        <f>IF(12=12,IF($U12="","",IF(SUM(CG12:CI12)&gt;0,"X",IF(CK12&gt;0,"?",""))),"")</f>
        <v/>
      </c>
      <c r="CM12" s="210"/>
      <c r="CN12" s="213" t="s">
        <v>989</v>
      </c>
      <c r="CO12" s="213" t="s">
        <v>878</v>
      </c>
      <c r="CP12" s="213" t="s">
        <v>879</v>
      </c>
      <c r="CQ12" s="213" t="s">
        <v>990</v>
      </c>
      <c r="CR12" s="213" t="s">
        <v>990</v>
      </c>
      <c r="CS12" s="213" t="s">
        <v>881</v>
      </c>
      <c r="CT12" s="213" t="s">
        <v>882</v>
      </c>
      <c r="CU12" s="213" t="s">
        <v>883</v>
      </c>
      <c r="CV12" s="214" t="s">
        <v>884</v>
      </c>
      <c r="CX12" s="212">
        <v>1</v>
      </c>
    </row>
    <row r="13" spans="1:102" ht="21" customHeight="1">
      <c r="A13" s="229">
        <v>7</v>
      </c>
      <c r="B13" s="230" t="s">
        <v>6451</v>
      </c>
      <c r="C13" s="231" t="str">
        <f t="shared" si="0"/>
        <v>Jaune d'œuf *</v>
      </c>
      <c r="D13" s="232" t="str">
        <f>IF(13=13,IF($B13="","",IF(E13="X",""&amp;"Céréales contenant du gluten","")&amp;IF(F13="X",IF(COUNTIF($E13:$E13,"X")&gt;0,", ","")&amp;"Crustacés","")&amp;IF(G13="X",IF(COUNTIF($E13:$F13,"X")&gt;0,", ","")&amp;"Œufs","")&amp;IF(H13="X",IF(COUNTIF($E13:$G13,"X")&gt;0,", ","")&amp;"Poissons","")&amp;IF(I13="X",IF(COUNTIF($E13:$H13,"X")&gt;0,", ","")&amp;"Arachides","")&amp;IF(J13="X",IF(COUNTIF($E13:$I13,"X")&gt;0,", ","")&amp;"Soja","")&amp;IF(K13="X",IF(COUNTIF($E13:$J13,"X")&gt;0,", ","")&amp;"Lait","")&amp;IF(L13="X",IF(COUNTIF($E13:$K13,"X")&gt;0,", ","")&amp;"Fruits à coque","")&amp;IF(M13="X",IF(COUNTIF($E13:$L13,"X")&gt;0,", ","")&amp;"Céleri","")&amp;IF(N13="X",IF(COUNTIF($E13:$M13,"X")&gt;0,", ","")&amp;"Moutarde","")&amp;IF(O13="X",IF(COUNTIF($E13:$N13,"X")&gt;0,", ","")&amp;"Sésame","")&amp;IF(P13="X",IF(COUNTIF($E13:$O13,"X")&gt;0,", ","")&amp;"Sulfites","")&amp;IF(Q13="X",IF(COUNTIF($E13:$P13,"X")&gt;0,", ","")&amp;"Lupin","")&amp;IF(R13="X",IF(COUNTIF($E13:$Q13,"X")&gt;0,", ","")&amp;"Mollusques","")),"")</f>
        <v>Œufs</v>
      </c>
      <c r="E13" s="233" t="str">
        <f>IF(13=13,IF($B13="","",IF(OR(ISNUMBER(SEARCH(" biere sans gluten ",$AA13)),ISNUMBER(SEARCH(" gluten free beer ",$AA13)),ISNUMBER(SEARCH(" beer gluten free ",$AA13))),"",IF(AF13="X","X",IF(OR(AF13="?",OR(ISNUMBER(SEARCH(" worcestershire ",$AA13)),ISNUMBER(SEARCH(" bloody mary ",$AA13)))),"?","")))),"")</f>
        <v/>
      </c>
      <c r="F13" s="233" t="str">
        <f>IF(13=13,IF($B13="","",AI13),"")</f>
        <v/>
      </c>
      <c r="G13" s="233" t="str">
        <f>IF(13=13,IF($B13="","",IF(OR(TRIM($AA13)="puree pate d amande",TRIM($AA13)="pate puree d amande",TRIM($AA13)="puree d amande",TRIM($AA13)="pate d amande",TRIM($AA13)="pate puree de noisette",TRIM($AA13)="puree pate de noisette",TRIM($AA13)="puree de noisette",TRIM($AA13)="pate de noisette"),"",IF(OR(AM13="X",OR(ISNUMBER(SEARCH(" macaron ",$AA13)),ISNUMBER(SEARCH(" egg nog ",$AA13)),ISNUMBER(SEARCH(" eggnog ",$AA13)))),"X",IF(OR(AM13="?",OR(ISNUMBER(SEARCH(" biscuit decoratif ",$AA13)),ISNUMBER(SEARCH(" whisky sour ",$AA13)),ISNUMBER(SEARCH(" whiskey sour ",$AA13)),ISNUMBER(SEARCH(" amaretto sour ",$AA13)),ISNUMBER(SEARCH(" pisco sour ",$AA13)),ISNUMBER(SEARCH(" clover club ",$AA13)),ISNUMBER(SEARCH(" ramos gin fizz ",$AA13)))),"?","")))),"")</f>
        <v>X</v>
      </c>
      <c r="H13" s="233" t="str">
        <f>IF(13=13,IF($B13="","",IF(ISNUMBER(SEARCH(" colin ",$AA13)),"X",IF(AZ13="X","X",IF(OR(AZ13="?",OR(ISNUMBER(SEARCH(" worcestershire ",$AA13)),ISNUMBER(SEARCH(" bloody mary ",$AA13)))),"?","")))),"")</f>
        <v/>
      </c>
      <c r="I13" s="233" t="str">
        <f>IF(13=13,IF($B13="","",BB13),"")</f>
        <v/>
      </c>
      <c r="J13" s="233" t="str">
        <f>IF(13=13,IF($B13="","",BF13),"")</f>
        <v/>
      </c>
      <c r="K13" s="233" t="str">
        <f>IF(13=13,IF($B13="","",IF(OR(OR(TRIM($AA13)="puree pate d amande",TRIM($AA13)="pate puree d amande",TRIM($AA13)="puree d amande",TRIM($AA13)="pate d amande",TRIM($AA13)="pate puree de noisette",TRIM($AA13)="puree pate de noisette",TRIM($AA13)="puree de noisette",TRIM($AA13)="pate de noisette"),OR(TRIM($AA13)="beurre puree d arachide",TRIM($AA13)="beurre d arachide",TRIM($AA13)="puree d arachide"),OR(TRIM($AA13)="tahini puree de sesame",TRIM($AA13)="tahini",TRIM($AA13)="puree de sesame")),"",IF(OR(TRIM($AA13)="creme de cassis",TRIM($AA13)="creme de menthe",TRIM($AA13)="creme de cacao",TRIM($AA13)="creme de mure",TRIM($AA13)="creme de framboise",TRIM($AA13)="creme de peche",TRIM($AA13)="creme de banane",TRIM($AA13)="liqueur creme de coco",TRIM($AA13)="creme de coco",TRIM($AA13)="spiritueux aromatise arrange creme de spiritueux"),"?",IF(OR(BM13="X",OR(ISNUMBER(SEARCH(" baileys ",$AA13)),ISNUMBER(SEARCH(" irish cream ",$AA13)),ISNUMBER(SEARCH(" creme de whisky ",$AA13)))),"X",IF(OR(BM13="?",OR(OR(TRIM($AA13)="creme de cassis",TRIM($AA13)="creme de menthe",TRIM($AA13)="creme de cacao",TRIM($AA13)="creme de mure",TRIM($AA13)="creme de framboise",TRIM($AA13)="creme de peche",TRIM($AA13)="creme de banane",TRIM($AA13)="liqueur creme de coco",TRIM($AA13)="creme de coco",TRIM($AA13)="spiritueux aromatise arrange creme de spiritueux"),ISNUMBER(SEARCH(" advocaat ",$AA13)),ISNUMBER(SEARCH(" liqueur aux oeufs ",$AA13)),ISNUMBER(SEARCH(" liqueur de chocolat ",$AA13)),ISNUMBER(SEARCH(" liqueur de caramel ",$AA13)),ISNUMBER(SEARCH(" sauce nappage chocolat ",$AA13)),ISNUMBER(SEARCH(" biscuit decoratif ",$AA13)),ISNUMBER(SEARCH(" white russian ",$AA13)),ISNUMBER(SEARCH(" grasshopper ",$AA13)),ISNUMBER(SEARCH(" irish coffee ",$AA13)),ISNUMBER(SEARCH(" ramos gin fizz ",$AA13)),ISNUMBER(SEARCH(" egg nog ",$AA13)),ISNUMBER(SEARCH(" eggnog ",$AA13)))),"?",""))))),"")</f>
        <v/>
      </c>
      <c r="L13" s="233" t="str">
        <f>IF(13=13,IF($B13="","",IF(OR(BQ13="X",OR(OR(TRIM($AA13)="puree pate d amande",TRIM($AA13)="pate puree d amande",TRIM($AA13)="puree d amande",TRIM($AA13)="pate d amande",TRIM($AA13)="pate puree de noisette",TRIM($AA13)="puree pate de noisette",TRIM($AA13)="puree de noisette",TRIM($AA13)="pate de noisette"),ISNUMBER(SEARCH(" macaron ",$AA13)),TRIM($AA13)="fruits a coque")),"X",IF(OR(BQ13="?",OR(ISNUMBER(SEARCH(" sirop d orgeat ",$AA13)),ISNUMBER(SEARCH(" orgeat ",$AA13)),ISNUMBER(SEARCH(" amaretto ",$AA13)))),"?",""))),"")</f>
        <v/>
      </c>
      <c r="M13" s="233" t="str">
        <f>IF(13=13,IF($B13="","",IF(OR(OR(TRIM($AA13)="puree pate d amande",TRIM($AA13)="pate puree d amande",TRIM($AA13)="puree d amande",TRIM($AA13)="pate d amande",TRIM($AA13)="pate puree de noisette",TRIM($AA13)="puree pate de noisette",TRIM($AA13)="puree de noisette",TRIM($AA13)="pate de noisette"),OR(TRIM($AA13)="tahini puree de sesame",TRIM($AA13)="tahini",TRIM($AA13)="puree de sesame")),"",IF(BT13="X","X",IF(OR(BT13="?",ISNUMBER(SEARCH(" bloody mary ",$AA13))),"?","")))),"")</f>
        <v/>
      </c>
      <c r="N13" s="233" t="str">
        <f>IF(13=13,IF($B13="","",IF(OR(OR(TRIM($AA13)="puree pate d amande",TRIM($AA13)="pate puree d amande",TRIM($AA13)="puree d amande",TRIM($AA13)="pate d amande",TRIM($AA13)="pate puree de noisette",TRIM($AA13)="puree pate de noisette",TRIM($AA13)="puree de noisette",TRIM($AA13)="pate de noisette"),OR(TRIM($AA13)="tahini puree de sesame",TRIM($AA13)="tahini",TRIM($AA13)="puree de sesame")),"",IF(BW13="X","X",IF(OR(BW13="?",ISNUMBER(SEARCH(" bloody mary ",$AA13))),"?","")))),"")</f>
        <v/>
      </c>
      <c r="O13" s="233" t="str">
        <f>IF(13=13,IF($B13="","",BZ13),"")</f>
        <v/>
      </c>
      <c r="P13" s="233" t="str">
        <f>IF(13=13,IF($B13="","",CC13),"")</f>
        <v/>
      </c>
      <c r="Q13" s="233" t="str">
        <f>IF(13=13,IF($B13="","",CF13),"")</f>
        <v/>
      </c>
      <c r="R13" s="233" t="str">
        <f>IF(13=13,IF($B13="","",IF(TRIM($AA13)="fruits a coque","",IF(CL13="X","X",IF(OR(CL13="?",OR(ISNUMBER(SEARCH(" clamato ",$AA13)),ISNUMBER(SEARCH(" bloody caesar ",$AA13)))),"?","")))),"")</f>
        <v/>
      </c>
      <c r="S13" s="234" t="str">
        <f>IF(13=13,IF($B13="","",IF(E13="?",""&amp;"Céréales contenant du gluten","")&amp;IF(F13="?",IF(COUNTIF($E13:$E13,"~?")&gt;0,", ","")&amp;"Crustacés","")&amp;IF(G13="?",IF(COUNTIF($E13:$F13,"~?")&gt;0,", ","")&amp;"Œufs","")&amp;IF(H13="?",IF(COUNTIF($E13:$G13,"~?")&gt;0,", ","")&amp;"Poissons","")&amp;IF(I13="?",IF(COUNTIF($E13:$H13,"~?")&gt;0,", ","")&amp;"Arachides","")&amp;IF(J13="?",IF(COUNTIF($E13:$I13,"~?")&gt;0,", ","")&amp;"Soja","")&amp;IF(K13="?",IF(COUNTIF($E13:$J13,"~?")&gt;0,", ","")&amp;"Lait","")&amp;IF(L13="?",IF(COUNTIF($E13:$K13,"~?")&gt;0,", ","")&amp;"Fruits à coque","")&amp;IF(M13="?",IF(COUNTIF($E13:$L13,"~?")&gt;0,", ","")&amp;"Céleri","")&amp;IF(N13="?",IF(COUNTIF($E13:$M13,"~?")&gt;0,", ","")&amp;"Moutarde","")&amp;IF(O13="?",IF(COUNTIF($E13:$N13,"~?")&gt;0,", ","")&amp;"Sésame","")&amp;IF(P13="?",IF(COUNTIF($E13:$O13,"~?")&gt;0,", ","")&amp;"Sulfites","")&amp;IF(Q13="?",IF(COUNTIF($E13:$P13,"~?")&gt;0,", ","")&amp;"Lupin","")&amp;IF(R13="?",IF(COUNTIF($E13:$Q13,"~?")&gt;0,", ","")&amp;"Mollusques","")),"")</f>
        <v/>
      </c>
      <c r="U13" s="209" t="str">
        <f>IF(13=13,IF($B13="","",$B13),"")</f>
        <v>Jaune d'œuf</v>
      </c>
      <c r="V13" s="209" t="str">
        <f>IF(13=13,LOWER(CLEAN(SUBSTITUTE(SUBSTITUTE(SUBSTITUTE(SUBSTITUTE($U13,CHAR(160)," ")," "," "),CHAR(10)," "),CHAR(13)," "))),"")</f>
        <v>jaune d'œuf</v>
      </c>
      <c r="W13" s="209" t="str">
        <f>IF(13=13,SUBSTITUTE(SUBSTITUTE(SUBSTITUTE(SUBSTITUTE(SUBSTITUTE(SUBSTITUTE(SUBSTITUTE(SUBSTITUTE(SUBSTITUTE(SUBSTITUTE(SUBSTITUTE(SUBSTITUTE($V13,"œ","oe"),"æ","ae"),"à","a"),"á","a"),"â","a"),"ä","a"),"ã","a"),"ç","c"),"è","e"),"é","e"),"ê","e"),"ë","e"),"")</f>
        <v>jaune d'oeuf</v>
      </c>
      <c r="X13" s="209" t="str">
        <f>IF(13=13,SUBSTITUTE(SUBSTITUTE(SUBSTITUTE(SUBSTITUTE(SUBSTITUTE(SUBSTITUTE(SUBSTITUTE(SUBSTITUTE(SUBSTITUTE(SUBSTITUTE(SUBSTITUTE(SUBSTITUTE(SUBSTITUTE(SUBSTITUTE(SUBSTITUTE(SUBSTITUTE($W13,"ì","i"),"í","i"),"î","i"),"ï","i"),"ñ","n"),"ò","o"),"ó","o"),"ô","o"),"ö","o"),"õ","o"),"ù","u"),"ú","u"),"û","u"),"ü","u"),"ý","y"),"ÿ","y"),"")</f>
        <v>jaune d'oeuf</v>
      </c>
      <c r="Y13" s="209" t="str">
        <f>IF(13=13,SUBSTITUTE(SUBSTITUTE(SUBSTITUTE(SUBSTITUTE(SUBSTITUTE(SUBSTITUTE(SUBSTITUTE(SUBSTITUTE(SUBSTITUTE(SUBSTITUTE(SUBSTITUTE(SUBSTITUTE(SUBSTITUTE(SUBSTITUTE($X13,"’"," "),"`"," "),"–"," "),"—"," "),"-"," "),"'"," "),"/"," "),"_"," "),","," "),"."," "),"("," "),")"," "),";"," "),":"," "),"")</f>
        <v>jaune d oeuf</v>
      </c>
      <c r="Z13" s="209" t="str">
        <f>IF(13=13,SUBSTITUTE(SUBSTITUTE(SUBSTITUTE(SUBSTITUTE(SUBSTITUTE(SUBSTITUTE(SUBSTITUTE(SUBSTITUTE(SUBSTITUTE(SUBSTITUTE(SUBSTITUTE(SUBSTITUTE(SUBSTITUTE(SUBSTITUTE(SUBSTITUTE($Y13,"!"," "),"?"," "),"+"," "),"*"," "),"&amp;"," "),"["," "),"]"," "),"{"," "),"}"," "),"%"," "),"="," "),"\"," "),"|"," "),"&lt;"," "),"&gt;"," "),"")</f>
        <v>jaune d oeuf</v>
      </c>
      <c r="AA13" s="209" t="str">
        <f>IF(13=13," "&amp;TRIM(SUBSTITUTE(SUBSTITUTE(SUBSTITUTE(SUBSTITUTE(SUBSTITUTE(SUBSTITUTE($Z13,CHAR(34)," "),"  "," "),"  "," "),"  "," "),"  "," "),"  "," "))&amp;" ","")</f>
        <v xml:space="preserve"> jaune d oeuf </v>
      </c>
      <c r="AB13" s="209">
        <f>IF(13=13,IF($U13="","",SUMPRODUCT(--ISNUMBER(SEARCH(" "&amp;$CR$2:$CR$101&amp;" ",$AD13)))),"")</f>
        <v>0</v>
      </c>
      <c r="AC13" s="209">
        <f>IF(13=13,IF($U13="","",SUMPRODUCT(--ISNUMBER(SEARCH(" "&amp;$CR$102:$CR$151&amp;" ",$AD13)))),"")</f>
        <v>0</v>
      </c>
      <c r="AD13" s="209" t="str">
        <f t="shared" si="1"/>
        <v xml:space="preserve"> jaune d oeuf </v>
      </c>
      <c r="AE13" s="209">
        <f t="shared" si="2"/>
        <v>0</v>
      </c>
      <c r="AF13" s="209" t="str">
        <f>IF(13=13,IF($U13="","",IF(SUM(AB13:AC13)+SUMPRODUCT(--ISNUMBER(SEARCH(" "&amp;$CR$2418:$CR$2420&amp;" ",$AD13)))&gt;0,"X",IF(AE13&gt;0,"?",""))),"")</f>
        <v/>
      </c>
      <c r="AG13" s="209">
        <f>IF(13=13,IF($U13="","",SUMPRODUCT(--ISNUMBER(SEARCH(" "&amp;$CR$206:$CR$305&amp;" ",$AA13)))),"")</f>
        <v>0</v>
      </c>
      <c r="AH13" s="209">
        <f>IF(13=13,IF($U13="","",SUMPRODUCT(--ISNUMBER(SEARCH(" "&amp;$CR$306:$CR$340&amp;" ",$AA13)))),"")</f>
        <v>0</v>
      </c>
      <c r="AI13" s="209" t="str">
        <f>IF(13=13,IF($U13="","",IF((SUM(AG13:AH13))-(0)&gt;0,"X",IF((0)-(0)&gt;0,"?",""))),"")</f>
        <v/>
      </c>
      <c r="AJ13" s="209">
        <f>IF(13=13,IF($U13="","",SUMPRODUCT(--ISNUMBER(SEARCH(" "&amp;$CR$341:$CR$398&amp;" ",$AA13)))),"")</f>
        <v>2</v>
      </c>
      <c r="AK13" s="209">
        <f>IF(13=13,IF($U13="","",SUMPRODUCT(--ISNUMBER(SEARCH(" "&amp;$CR$399:$CR$426&amp;" ",$AL13)))+SUMPRODUCT(--ISNUMBER(SEARCH(" "&amp;$CR$2440:$CR$2453&amp;" ",$AL13)))),"")</f>
        <v>0</v>
      </c>
      <c r="AL13" s="209" t="str">
        <f>IF(13=13,IF($U13="","",SUBSTITUTE(SUBSTITUTE(SUBSTITUTE(SUBSTITUTE(SUBSTITUTE(SUBSTITUTE(SUBSTITUTE(SUBSTITUTE(SUBSTITUTE(SUBSTITUTE(SUBSTITUTE(SUBSTITUTE(SUBSTITUTE(SUBSTITUTE($AA13,"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jaune d oeuf </v>
      </c>
      <c r="AM13" s="209" t="str">
        <f>IF(13=13,IF($U13="","",IF(AJ13&gt;0,"X",IF(AK13&gt;0,"?",""))),"")</f>
        <v>X</v>
      </c>
      <c r="AN13" s="209">
        <f>IF(13=13,IF($U13="","",SUMPRODUCT(--ISNUMBER(SEARCH(" "&amp;$CR$436:$CR$535&amp;" ",$AX13)))),"")</f>
        <v>0</v>
      </c>
      <c r="AO13" s="209">
        <f>IF(13=13,IF($U13="","",SUMPRODUCT(--ISNUMBER(SEARCH(" "&amp;$CR$536:$CR$635&amp;" ",$AX13)))),"")</f>
        <v>0</v>
      </c>
      <c r="AP13" s="209">
        <f>IF(13=13,IF($U13="","",SUMPRODUCT(--ISNUMBER(SEARCH(" "&amp;$CR$636:$CR$735&amp;" ",$AX13)))),"")</f>
        <v>0</v>
      </c>
      <c r="AQ13" s="209">
        <f>IF(13=13,IF($U13="","",SUMPRODUCT(--ISNUMBER(SEARCH(" "&amp;$CR$736:$CR$835&amp;" ",$AX13)))),"")</f>
        <v>0</v>
      </c>
      <c r="AR13" s="209">
        <f>IF(13=13,IF($U13="","",SUMPRODUCT(--ISNUMBER(SEARCH(" "&amp;$CR$836:$CR$935&amp;" ",$AX13)))),"")</f>
        <v>0</v>
      </c>
      <c r="AS13" s="209">
        <f>IF(13=13,IF($U13="","",SUMPRODUCT(--ISNUMBER(SEARCH(" "&amp;$CR$936:$CR$1035&amp;" ",$AX13)))),"")</f>
        <v>0</v>
      </c>
      <c r="AT13" s="209">
        <f>IF(13=13,IF($U13="","",SUMPRODUCT(--ISNUMBER(SEARCH(" "&amp;$CR$1036:$CR$1135&amp;" ",$AX13)))),"")</f>
        <v>0</v>
      </c>
      <c r="AU13" s="209">
        <f>IF(13=13,IF($U13="","",SUMPRODUCT(--ISNUMBER(SEARCH(" "&amp;$CR$1136:$CR$1235&amp;" ",$AX13)))),"")</f>
        <v>0</v>
      </c>
      <c r="AV13" s="209">
        <f>IF(13=13,IF($U13="","",SUMPRODUCT(--ISNUMBER(SEARCH(" "&amp;$CR$1236:$CR$1335&amp;" ",$AX13)))),"")</f>
        <v>0</v>
      </c>
      <c r="AW13" s="209">
        <f>IF(13=13,IF($U13="","",SUMPRODUCT(--ISNUMBER(SEARCH(" "&amp;$CR$1336:$CR$1363&amp;" ",$AX13)))),"")</f>
        <v>0</v>
      </c>
      <c r="AX13" s="209" t="str">
        <f>IF(13=13,IF($U13="","",SUBSTITUTE(SUBSTITUTE(SUBSTITUTE(SUBSTITUTE(SUBSTITUTE(SUBSTITUTE(SUBSTITUTE(SUBSTITUTE(SUBSTITUTE($AA13,"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jaune d oeuf </v>
      </c>
      <c r="AY13" s="209">
        <f>IF(13=13,IF($U13="","",SUMPRODUCT(--ISNUMBER(SEARCH(" "&amp;$CR$1373:$CR$1383&amp;" ",$AX13)))),"")</f>
        <v>0</v>
      </c>
      <c r="AZ13" s="209" t="str">
        <f>IF(13=13,IF($U13="","",IF(SUM(AN13:AW13)+SUMPRODUCT(--ISNUMBER(SEARCH(" "&amp;$CR$2421:$CR$2422&amp;" ",$AX13)))&gt;0,"X",IF(AY13&gt;0,"?",""))),"")</f>
        <v/>
      </c>
      <c r="BA13" s="209">
        <f>IF(13=13,IF($U13="","",SUMPRODUCT(--ISNUMBER(SEARCH(" "&amp;$CR$1384:$CR$1404&amp;" ",$AA13)))),"")</f>
        <v>0</v>
      </c>
      <c r="BB13" s="209" t="str">
        <f>IF(13=13,IF($U13="","",IF((BA13)-(0)&gt;0,"X",IF((0)-(0)&gt;0,"?",""))),"")</f>
        <v/>
      </c>
      <c r="BC13" s="209">
        <f>IF(13=13,IF($U13="","",SUMPRODUCT(--ISNUMBER(SEARCH(" "&amp;$CR$1405:$CR$1442&amp;" ",$BD13)))),"")</f>
        <v>0</v>
      </c>
      <c r="BD13" s="209" t="str">
        <f>IF(13=13,IF($U13="","",SUBSTITUTE(SUBSTITUTE($AA13," "&amp;$CR$1443&amp;" "," ")," "&amp;$CR$1444&amp;" "," ")),"")</f>
        <v xml:space="preserve"> jaune d oeuf </v>
      </c>
      <c r="BE13" s="209">
        <f>IF(13=13,IF($U13="","",SUMPRODUCT(--ISNUMBER(SEARCH(" "&amp;$CR$1445:$CR$1455&amp;" ",$BD13)))),"")</f>
        <v>0</v>
      </c>
      <c r="BF13" s="209" t="str">
        <f>IF(13=13,IF($U13="","",IF(BC13&gt;0,"X",IF(BE13&gt;0,"?",""))),"")</f>
        <v/>
      </c>
      <c r="BG13" s="209">
        <f>IF(13=13,IF($U13="","",SUMPRODUCT(--ISNUMBER(SEARCH(" "&amp;$CR$1456:$CR$1555&amp;" ",$BJ13)))),"")</f>
        <v>0</v>
      </c>
      <c r="BH13" s="209">
        <f>IF(13=13,IF($U13="","",SUMPRODUCT(--ISNUMBER(SEARCH(" "&amp;$CR$1556:$CR$1655&amp;" ",$BJ13)))),"")</f>
        <v>0</v>
      </c>
      <c r="BI13" s="209">
        <f>IF(13=13,IF($U13="","",SUMPRODUCT(--ISNUMBER(SEARCH(" "&amp;$CR$1656:$CR$1739&amp;" ",$BJ13)))),"")</f>
        <v>0</v>
      </c>
      <c r="BJ13" s="209" t="str">
        <f>IF(13=13,IF($U13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13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jaune d oeuf </v>
      </c>
      <c r="BK13" s="209">
        <f>IF(13=13,IF($U13="","",SUMPRODUCT(--ISNUMBER(SEARCH(" "&amp;$CR$1790:$CR$1869&amp;" ",$BL13)))+SUMPRODUCT(--ISNUMBER(SEARCH(" "&amp;$CR$2440:$CR$2453&amp;" ",$BL13)))),"")</f>
        <v>0</v>
      </c>
      <c r="BL13" s="209" t="str">
        <f>IF(13=13,IF($U13="","",SUBSTITUTE(SUBSTITUTE(SUBSTITUTE(SUBSTITUTE(SUBSTITUTE(SUBSTITUTE(SUBSTITUTE(SUBSTITUTE(SUBSTITUTE(SUBSTITUTE(SUBSTITUTE(SUBSTITUTE(SUBSTITUTE($BJ13,"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jaune d oeuf </v>
      </c>
      <c r="BM13" s="209" t="str">
        <f>IF(13=13,IF($U13="","",IF(SUM(BG13:BI13)+SUMPRODUCT(--ISNUMBER(SEARCH(" "&amp;$CR$2423:$CR$2424&amp;" ",$BJ13)))&gt;0,"X",IF(BK13&gt;0,"?",""))),"")</f>
        <v/>
      </c>
      <c r="BN13" s="209">
        <f>IF(13=13,IF($U13="","",SUMPRODUCT(--ISNUMBER(SEARCH(" "&amp;$CR$1879:$CR$1936&amp;" ",$BO13)))),"")</f>
        <v>0</v>
      </c>
      <c r="BO13" s="209" t="str">
        <f>IF(13=13,IF($U13="","",SUBSTITUTE(SUBSTITUTE(SUBSTITUTE(SUBSTITUTE(SUBSTITUTE(SUBSTITUTE(SUBSTITUTE(SUBSTITUTE(SUBSTITUTE(SUBSTITUTE(SUBSTITUTE(SUBSTITUTE(SUBSTITUTE(SUBSTITUTE(SUBSTITUTE(SUBSTITUTE(SUBSTITUTE(SUBSTITUTE(SUBSTITUTE(SUBSTITUTE(SUBSTITUTE(SUBSTITUTE(SUBSTITUTE($AA13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jaune d oeuf </v>
      </c>
      <c r="BP13" s="209">
        <f>IF(13=13,IF($U13="","",SUMPRODUCT(--ISNUMBER(SEARCH(" "&amp;$CR$1960:$CR$1976&amp;" ",$BO13)))),"")</f>
        <v>0</v>
      </c>
      <c r="BQ13" s="209" t="str">
        <f>IF(13=13,IF($U13="","",IF(BN13&gt;0,"X",IF(BP13&gt;0,"?",""))),"")</f>
        <v/>
      </c>
      <c r="BR13" s="209">
        <f>IF(13=13,IF($U13="","",SUMPRODUCT(--ISNUMBER(SEARCH(" "&amp;$CR$1977:$CR$1990&amp;" ",$AA13)))),"")</f>
        <v>0</v>
      </c>
      <c r="BS13" s="209">
        <f>IF(13=13,IF($U13="","",SUMPRODUCT(--ISNUMBER(SEARCH(" "&amp;$CR$1991:$CR$2005&amp;" ",$AA13)))),"")</f>
        <v>0</v>
      </c>
      <c r="BT13" s="209" t="str">
        <f>IF(13=13,IF($U13="","",IF((BR13)-(0)&gt;0,"X",IF((BS13)-(0)&gt;0,"?",""))),"")</f>
        <v/>
      </c>
      <c r="BU13" s="209">
        <f>IF(13=13,IF($U13="","",SUMPRODUCT(--ISNUMBER(SEARCH(" "&amp;$CR$2006:$CR$2023&amp;" ",$AA13)))),"")</f>
        <v>0</v>
      </c>
      <c r="BV13" s="209">
        <f>IF(13=13,IF($U13="","",SUMPRODUCT(--ISNUMBER(SEARCH(" "&amp;$CR$2024:$CR$2038&amp;" ",$AA13)))),"")</f>
        <v>0</v>
      </c>
      <c r="BW13" s="209" t="str">
        <f>IF(13=13,IF($U13="","",IF((BU13)-(0)&gt;0,"X",IF((BV13)-(0)&gt;0,"?",""))),"")</f>
        <v/>
      </c>
      <c r="BX13" s="209">
        <f>IF(13=13,IF($U13="","",SUMPRODUCT(--ISNUMBER(SEARCH(" "&amp;$CR$2039:$CR$2057&amp;" ",$AA13)))),"")</f>
        <v>0</v>
      </c>
      <c r="BY13" s="209">
        <f>IF(13=13,IF($U13="","",SUMPRODUCT(--ISNUMBER(SEARCH(" "&amp;$CR$2058:$CR$2072&amp;" ",$AA13)))),"")</f>
        <v>0</v>
      </c>
      <c r="BZ13" s="209" t="str">
        <f>IF(13=13,IF($U13="","",IF((BX13)-(0)&gt;0,"X",IF((BY13)-(0)&gt;0,"?",""))),"")</f>
        <v/>
      </c>
      <c r="CA13" s="209">
        <f>IF(13=13,IF($U13="","",SUMPRODUCT(--ISNUMBER(SEARCH(" "&amp;$CR$2073:$CR$2093&amp;" ",$AA13)))),"")</f>
        <v>0</v>
      </c>
      <c r="CB13" s="209">
        <f>IF(13=13,IF($U13="","",SUMPRODUCT(--ISNUMBER(SEARCH(" "&amp;$CR$2094:$CR$2133&amp;" ",SUBSTITUTE(SUBSTITUTE($AA13," "&amp;$CR$1367&amp;" "," ")," "&amp;$CR$1366&amp;" "," "))))+--ISNUMBER(SEARCH("poiré",$V13))),"")</f>
        <v>0</v>
      </c>
      <c r="CC13" s="209" t="str">
        <f>IF(13=13,IF($U13="","",IF(OR(CA13&gt;0,ISNUMBER(SEARCH(" vinaigre de vin ",$AA13)),ISNUMBER(SEARCH(" vinaigre au vin ",$AA13))),"X",IF(CB13&gt;0,"?",""))),"")</f>
        <v/>
      </c>
      <c r="CD13" s="209">
        <f>IF(13=13,IF($U13="","",SUMPRODUCT(--ISNUMBER(SEARCH(" "&amp;$CR$2134:$CR$2146&amp;" ",$AA13)))),"")</f>
        <v>0</v>
      </c>
      <c r="CE13" s="209">
        <f>IF(13=13,IF($U13="","",SUMPRODUCT(--ISNUMBER(SEARCH(" "&amp;$CR$2147:$CR$2152&amp;" ",$AA13)))),"")</f>
        <v>0</v>
      </c>
      <c r="CF13" s="209" t="str">
        <f>IF(13=13,IF($U13="","",IF((CD13)-(0)&gt;0,"X",IF((CE13)-(0)&gt;0,"?",""))),"")</f>
        <v/>
      </c>
      <c r="CG13" s="209">
        <f>IF(13=13,IF($U13="","",SUMPRODUCT(--ISNUMBER(SEARCH(" "&amp;$CR$2153:$CR$2252&amp;" ",$CJ13)))),"")</f>
        <v>0</v>
      </c>
      <c r="CH13" s="209">
        <f>IF(13=13,IF($U13="","",SUMPRODUCT(--ISNUMBER(SEARCH(" "&amp;$CR$2253:$CR$2352&amp;" ",$CJ13)))),"")</f>
        <v>0</v>
      </c>
      <c r="CI13" s="209">
        <f>IF(13=13,IF($U13="","",SUMPRODUCT(--ISNUMBER(SEARCH(" "&amp;$CR$2353:$CR$2395&amp;" ",$CJ13)))),"")</f>
        <v>0</v>
      </c>
      <c r="CJ13" s="209" t="str">
        <f>IF(13=13,IF($U13="","",SUBSTITUTE(SUBSTITUTE(SUBSTITUTE(SUBSTITUTE(SUBSTITUTE(SUBSTITUTE(SUBSTITUTE(SUBSTITUTE(SUBSTITUTE(SUBSTITUTE(SUBSTITUTE(SUBSTITUTE(SUBSTITUTE(SUBSTITUTE(SUBSTITUTE(SUBSTITUTE($AA13,"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jaune d oeuf </v>
      </c>
      <c r="CK13" s="209">
        <f>IF(13=13,IF($U13="","",SUMPRODUCT(--ISNUMBER(SEARCH(" "&amp;$CR$2412:$CR$2416&amp;" ",$CJ13)))),"")</f>
        <v>0</v>
      </c>
      <c r="CL13" s="209" t="str">
        <f>IF(13=13,IF($U13="","",IF(SUM(CG13:CI13)&gt;0,"X",IF(CK13&gt;0,"?",""))),"")</f>
        <v/>
      </c>
      <c r="CM13" s="210"/>
      <c r="CN13" s="213" t="s">
        <v>991</v>
      </c>
      <c r="CO13" s="213" t="s">
        <v>878</v>
      </c>
      <c r="CP13" s="213" t="s">
        <v>879</v>
      </c>
      <c r="CQ13" s="213" t="s">
        <v>992</v>
      </c>
      <c r="CR13" s="213" t="s">
        <v>992</v>
      </c>
      <c r="CS13" s="213" t="s">
        <v>881</v>
      </c>
      <c r="CT13" s="213" t="s">
        <v>882</v>
      </c>
      <c r="CU13" s="213" t="s">
        <v>883</v>
      </c>
      <c r="CV13" s="214" t="s">
        <v>884</v>
      </c>
      <c r="CX13" s="212">
        <v>1</v>
      </c>
    </row>
    <row r="14" spans="1:102" ht="21" customHeight="1">
      <c r="A14" s="229">
        <v>8</v>
      </c>
      <c r="B14" s="230" t="s">
        <v>6454</v>
      </c>
      <c r="C14" s="231" t="str">
        <f t="shared" si="0"/>
        <v>Œuf entier *</v>
      </c>
      <c r="D14" s="232" t="str">
        <f>IF(14=14,IF($B14="","",IF(E14="X",""&amp;"Céréales contenant du gluten","")&amp;IF(F14="X",IF(COUNTIF($E14:$E14,"X")&gt;0,", ","")&amp;"Crustacés","")&amp;IF(G14="X",IF(COUNTIF($E14:$F14,"X")&gt;0,", ","")&amp;"Œufs","")&amp;IF(H14="X",IF(COUNTIF($E14:$G14,"X")&gt;0,", ","")&amp;"Poissons","")&amp;IF(I14="X",IF(COUNTIF($E14:$H14,"X")&gt;0,", ","")&amp;"Arachides","")&amp;IF(J14="X",IF(COUNTIF($E14:$I14,"X")&gt;0,", ","")&amp;"Soja","")&amp;IF(K14="X",IF(COUNTIF($E14:$J14,"X")&gt;0,", ","")&amp;"Lait","")&amp;IF(L14="X",IF(COUNTIF($E14:$K14,"X")&gt;0,", ","")&amp;"Fruits à coque","")&amp;IF(M14="X",IF(COUNTIF($E14:$L14,"X")&gt;0,", ","")&amp;"Céleri","")&amp;IF(N14="X",IF(COUNTIF($E14:$M14,"X")&gt;0,", ","")&amp;"Moutarde","")&amp;IF(O14="X",IF(COUNTIF($E14:$N14,"X")&gt;0,", ","")&amp;"Sésame","")&amp;IF(P14="X",IF(COUNTIF($E14:$O14,"X")&gt;0,", ","")&amp;"Sulfites","")&amp;IF(Q14="X",IF(COUNTIF($E14:$P14,"X")&gt;0,", ","")&amp;"Lupin","")&amp;IF(R14="X",IF(COUNTIF($E14:$Q14,"X")&gt;0,", ","")&amp;"Mollusques","")),"")</f>
        <v>Œufs</v>
      </c>
      <c r="E14" s="233" t="str">
        <f>IF(14=14,IF($B14="","",IF(OR(ISNUMBER(SEARCH(" biere sans gluten ",$AA14)),ISNUMBER(SEARCH(" gluten free beer ",$AA14)),ISNUMBER(SEARCH(" beer gluten free ",$AA14))),"",IF(AF14="X","X",IF(OR(AF14="?",OR(ISNUMBER(SEARCH(" worcestershire ",$AA14)),ISNUMBER(SEARCH(" bloody mary ",$AA14)))),"?","")))),"")</f>
        <v/>
      </c>
      <c r="F14" s="233" t="str">
        <f>IF(14=14,IF($B14="","",AI14),"")</f>
        <v/>
      </c>
      <c r="G14" s="233" t="str">
        <f>IF(14=14,IF($B14="","",IF(OR(TRIM($AA14)="puree pate d amande",TRIM($AA14)="pate puree d amande",TRIM($AA14)="puree d amande",TRIM($AA14)="pate d amande",TRIM($AA14)="pate puree de noisette",TRIM($AA14)="puree pate de noisette",TRIM($AA14)="puree de noisette",TRIM($AA14)="pate de noisette"),"",IF(OR(AM14="X",OR(ISNUMBER(SEARCH(" macaron ",$AA14)),ISNUMBER(SEARCH(" egg nog ",$AA14)),ISNUMBER(SEARCH(" eggnog ",$AA14)))),"X",IF(OR(AM14="?",OR(ISNUMBER(SEARCH(" biscuit decoratif ",$AA14)),ISNUMBER(SEARCH(" whisky sour ",$AA14)),ISNUMBER(SEARCH(" whiskey sour ",$AA14)),ISNUMBER(SEARCH(" amaretto sour ",$AA14)),ISNUMBER(SEARCH(" pisco sour ",$AA14)),ISNUMBER(SEARCH(" clover club ",$AA14)),ISNUMBER(SEARCH(" ramos gin fizz ",$AA14)))),"?","")))),"")</f>
        <v>X</v>
      </c>
      <c r="H14" s="233" t="str">
        <f>IF(14=14,IF($B14="","",IF(ISNUMBER(SEARCH(" colin ",$AA14)),"X",IF(AZ14="X","X",IF(OR(AZ14="?",OR(ISNUMBER(SEARCH(" worcestershire ",$AA14)),ISNUMBER(SEARCH(" bloody mary ",$AA14)))),"?","")))),"")</f>
        <v/>
      </c>
      <c r="I14" s="233" t="str">
        <f>IF(14=14,IF($B14="","",BB14),"")</f>
        <v/>
      </c>
      <c r="J14" s="233" t="str">
        <f>IF(14=14,IF($B14="","",BF14),"")</f>
        <v/>
      </c>
      <c r="K14" s="233" t="str">
        <f>IF(14=14,IF($B14="","",IF(OR(OR(TRIM($AA14)="puree pate d amande",TRIM($AA14)="pate puree d amande",TRIM($AA14)="puree d amande",TRIM($AA14)="pate d amande",TRIM($AA14)="pate puree de noisette",TRIM($AA14)="puree pate de noisette",TRIM($AA14)="puree de noisette",TRIM($AA14)="pate de noisette"),OR(TRIM($AA14)="beurre puree d arachide",TRIM($AA14)="beurre d arachide",TRIM($AA14)="puree d arachide"),OR(TRIM($AA14)="tahini puree de sesame",TRIM($AA14)="tahini",TRIM($AA14)="puree de sesame")),"",IF(OR(TRIM($AA14)="creme de cassis",TRIM($AA14)="creme de menthe",TRIM($AA14)="creme de cacao",TRIM($AA14)="creme de mure",TRIM($AA14)="creme de framboise",TRIM($AA14)="creme de peche",TRIM($AA14)="creme de banane",TRIM($AA14)="liqueur creme de coco",TRIM($AA14)="creme de coco",TRIM($AA14)="spiritueux aromatise arrange creme de spiritueux"),"?",IF(OR(BM14="X",OR(ISNUMBER(SEARCH(" baileys ",$AA14)),ISNUMBER(SEARCH(" irish cream ",$AA14)),ISNUMBER(SEARCH(" creme de whisky ",$AA14)))),"X",IF(OR(BM14="?",OR(OR(TRIM($AA14)="creme de cassis",TRIM($AA14)="creme de menthe",TRIM($AA14)="creme de cacao",TRIM($AA14)="creme de mure",TRIM($AA14)="creme de framboise",TRIM($AA14)="creme de peche",TRIM($AA14)="creme de banane",TRIM($AA14)="liqueur creme de coco",TRIM($AA14)="creme de coco",TRIM($AA14)="spiritueux aromatise arrange creme de spiritueux"),ISNUMBER(SEARCH(" advocaat ",$AA14)),ISNUMBER(SEARCH(" liqueur aux oeufs ",$AA14)),ISNUMBER(SEARCH(" liqueur de chocolat ",$AA14)),ISNUMBER(SEARCH(" liqueur de caramel ",$AA14)),ISNUMBER(SEARCH(" sauce nappage chocolat ",$AA14)),ISNUMBER(SEARCH(" biscuit decoratif ",$AA14)),ISNUMBER(SEARCH(" white russian ",$AA14)),ISNUMBER(SEARCH(" grasshopper ",$AA14)),ISNUMBER(SEARCH(" irish coffee ",$AA14)),ISNUMBER(SEARCH(" ramos gin fizz ",$AA14)),ISNUMBER(SEARCH(" egg nog ",$AA14)),ISNUMBER(SEARCH(" eggnog ",$AA14)))),"?",""))))),"")</f>
        <v/>
      </c>
      <c r="L14" s="233" t="str">
        <f>IF(14=14,IF($B14="","",IF(OR(BQ14="X",OR(OR(TRIM($AA14)="puree pate d amande",TRIM($AA14)="pate puree d amande",TRIM($AA14)="puree d amande",TRIM($AA14)="pate d amande",TRIM($AA14)="pate puree de noisette",TRIM($AA14)="puree pate de noisette",TRIM($AA14)="puree de noisette",TRIM($AA14)="pate de noisette"),ISNUMBER(SEARCH(" macaron ",$AA14)),TRIM($AA14)="fruits a coque")),"X",IF(OR(BQ14="?",OR(ISNUMBER(SEARCH(" sirop d orgeat ",$AA14)),ISNUMBER(SEARCH(" orgeat ",$AA14)),ISNUMBER(SEARCH(" amaretto ",$AA14)))),"?",""))),"")</f>
        <v/>
      </c>
      <c r="M14" s="233" t="str">
        <f>IF(14=14,IF($B14="","",IF(OR(OR(TRIM($AA14)="puree pate d amande",TRIM($AA14)="pate puree d amande",TRIM($AA14)="puree d amande",TRIM($AA14)="pate d amande",TRIM($AA14)="pate puree de noisette",TRIM($AA14)="puree pate de noisette",TRIM($AA14)="puree de noisette",TRIM($AA14)="pate de noisette"),OR(TRIM($AA14)="tahini puree de sesame",TRIM($AA14)="tahini",TRIM($AA14)="puree de sesame")),"",IF(BT14="X","X",IF(OR(BT14="?",ISNUMBER(SEARCH(" bloody mary ",$AA14))),"?","")))),"")</f>
        <v/>
      </c>
      <c r="N14" s="233" t="str">
        <f>IF(14=14,IF($B14="","",IF(OR(OR(TRIM($AA14)="puree pate d amande",TRIM($AA14)="pate puree d amande",TRIM($AA14)="puree d amande",TRIM($AA14)="pate d amande",TRIM($AA14)="pate puree de noisette",TRIM($AA14)="puree pate de noisette",TRIM($AA14)="puree de noisette",TRIM($AA14)="pate de noisette"),OR(TRIM($AA14)="tahini puree de sesame",TRIM($AA14)="tahini",TRIM($AA14)="puree de sesame")),"",IF(BW14="X","X",IF(OR(BW14="?",ISNUMBER(SEARCH(" bloody mary ",$AA14))),"?","")))),"")</f>
        <v/>
      </c>
      <c r="O14" s="233" t="str">
        <f>IF(14=14,IF($B14="","",BZ14),"")</f>
        <v/>
      </c>
      <c r="P14" s="233" t="str">
        <f>IF(14=14,IF($B14="","",CC14),"")</f>
        <v/>
      </c>
      <c r="Q14" s="233" t="str">
        <f>IF(14=14,IF($B14="","",CF14),"")</f>
        <v/>
      </c>
      <c r="R14" s="233" t="str">
        <f>IF(14=14,IF($B14="","",IF(TRIM($AA14)="fruits a coque","",IF(CL14="X","X",IF(OR(CL14="?",OR(ISNUMBER(SEARCH(" clamato ",$AA14)),ISNUMBER(SEARCH(" bloody caesar ",$AA14)))),"?","")))),"")</f>
        <v/>
      </c>
      <c r="S14" s="234" t="str">
        <f>IF(14=14,IF($B14="","",IF(E14="?",""&amp;"Céréales contenant du gluten","")&amp;IF(F14="?",IF(COUNTIF($E14:$E14,"~?")&gt;0,", ","")&amp;"Crustacés","")&amp;IF(G14="?",IF(COUNTIF($E14:$F14,"~?")&gt;0,", ","")&amp;"Œufs","")&amp;IF(H14="?",IF(COUNTIF($E14:$G14,"~?")&gt;0,", ","")&amp;"Poissons","")&amp;IF(I14="?",IF(COUNTIF($E14:$H14,"~?")&gt;0,", ","")&amp;"Arachides","")&amp;IF(J14="?",IF(COUNTIF($E14:$I14,"~?")&gt;0,", ","")&amp;"Soja","")&amp;IF(K14="?",IF(COUNTIF($E14:$J14,"~?")&gt;0,", ","")&amp;"Lait","")&amp;IF(L14="?",IF(COUNTIF($E14:$K14,"~?")&gt;0,", ","")&amp;"Fruits à coque","")&amp;IF(M14="?",IF(COUNTIF($E14:$L14,"~?")&gt;0,", ","")&amp;"Céleri","")&amp;IF(N14="?",IF(COUNTIF($E14:$M14,"~?")&gt;0,", ","")&amp;"Moutarde","")&amp;IF(O14="?",IF(COUNTIF($E14:$N14,"~?")&gt;0,", ","")&amp;"Sésame","")&amp;IF(P14="?",IF(COUNTIF($E14:$O14,"~?")&gt;0,", ","")&amp;"Sulfites","")&amp;IF(Q14="?",IF(COUNTIF($E14:$P14,"~?")&gt;0,", ","")&amp;"Lupin","")&amp;IF(R14="?",IF(COUNTIF($E14:$Q14,"~?")&gt;0,", ","")&amp;"Mollusques","")),"")</f>
        <v/>
      </c>
      <c r="U14" s="209" t="str">
        <f>IF(14=14,IF($B14="","",$B14),"")</f>
        <v>Œuf entier</v>
      </c>
      <c r="V14" s="209" t="str">
        <f>IF(14=14,LOWER(CLEAN(SUBSTITUTE(SUBSTITUTE(SUBSTITUTE(SUBSTITUTE($U14,CHAR(160)," ")," "," "),CHAR(10)," "),CHAR(13)," "))),"")</f>
        <v>œuf entier</v>
      </c>
      <c r="W14" s="209" t="str">
        <f>IF(14=14,SUBSTITUTE(SUBSTITUTE(SUBSTITUTE(SUBSTITUTE(SUBSTITUTE(SUBSTITUTE(SUBSTITUTE(SUBSTITUTE(SUBSTITUTE(SUBSTITUTE(SUBSTITUTE(SUBSTITUTE($V14,"œ","oe"),"æ","ae"),"à","a"),"á","a"),"â","a"),"ä","a"),"ã","a"),"ç","c"),"è","e"),"é","e"),"ê","e"),"ë","e"),"")</f>
        <v>oeuf entier</v>
      </c>
      <c r="X14" s="209" t="str">
        <f>IF(14=14,SUBSTITUTE(SUBSTITUTE(SUBSTITUTE(SUBSTITUTE(SUBSTITUTE(SUBSTITUTE(SUBSTITUTE(SUBSTITUTE(SUBSTITUTE(SUBSTITUTE(SUBSTITUTE(SUBSTITUTE(SUBSTITUTE(SUBSTITUTE(SUBSTITUTE(SUBSTITUTE($W14,"ì","i"),"í","i"),"î","i"),"ï","i"),"ñ","n"),"ò","o"),"ó","o"),"ô","o"),"ö","o"),"õ","o"),"ù","u"),"ú","u"),"û","u"),"ü","u"),"ý","y"),"ÿ","y"),"")</f>
        <v>oeuf entier</v>
      </c>
      <c r="Y14" s="209" t="str">
        <f>IF(14=14,SUBSTITUTE(SUBSTITUTE(SUBSTITUTE(SUBSTITUTE(SUBSTITUTE(SUBSTITUTE(SUBSTITUTE(SUBSTITUTE(SUBSTITUTE(SUBSTITUTE(SUBSTITUTE(SUBSTITUTE(SUBSTITUTE(SUBSTITUTE($X14,"’"," "),"`"," "),"–"," "),"—"," "),"-"," "),"'"," "),"/"," "),"_"," "),","," "),"."," "),"("," "),")"," "),";"," "),":"," "),"")</f>
        <v>oeuf entier</v>
      </c>
      <c r="Z14" s="209" t="str">
        <f>IF(14=14,SUBSTITUTE(SUBSTITUTE(SUBSTITUTE(SUBSTITUTE(SUBSTITUTE(SUBSTITUTE(SUBSTITUTE(SUBSTITUTE(SUBSTITUTE(SUBSTITUTE(SUBSTITUTE(SUBSTITUTE(SUBSTITUTE(SUBSTITUTE(SUBSTITUTE($Y14,"!"," "),"?"," "),"+"," "),"*"," "),"&amp;"," "),"["," "),"]"," "),"{"," "),"}"," "),"%"," "),"="," "),"\"," "),"|"," "),"&lt;"," "),"&gt;"," "),"")</f>
        <v>oeuf entier</v>
      </c>
      <c r="AA14" s="209" t="str">
        <f>IF(14=14," "&amp;TRIM(SUBSTITUTE(SUBSTITUTE(SUBSTITUTE(SUBSTITUTE(SUBSTITUTE(SUBSTITUTE($Z14,CHAR(34)," "),"  "," "),"  "," "),"  "," "),"  "," "),"  "," "))&amp;" ","")</f>
        <v xml:space="preserve"> oeuf entier </v>
      </c>
      <c r="AB14" s="209">
        <f>IF(14=14,IF($U14="","",SUMPRODUCT(--ISNUMBER(SEARCH(" "&amp;$CR$2:$CR$101&amp;" ",$AD14)))),"")</f>
        <v>0</v>
      </c>
      <c r="AC14" s="209">
        <f>IF(14=14,IF($U14="","",SUMPRODUCT(--ISNUMBER(SEARCH(" "&amp;$CR$102:$CR$151&amp;" ",$AD14)))),"")</f>
        <v>0</v>
      </c>
      <c r="AD14" s="209" t="str">
        <f t="shared" si="1"/>
        <v xml:space="preserve"> oeuf entier </v>
      </c>
      <c r="AE14" s="209">
        <f t="shared" si="2"/>
        <v>0</v>
      </c>
      <c r="AF14" s="209" t="str">
        <f>IF(14=14,IF($U14="","",IF(SUM(AB14:AC14)+SUMPRODUCT(--ISNUMBER(SEARCH(" "&amp;$CR$2418:$CR$2420&amp;" ",$AD14)))&gt;0,"X",IF(AE14&gt;0,"?",""))),"")</f>
        <v/>
      </c>
      <c r="AG14" s="209">
        <f>IF(14=14,IF($U14="","",SUMPRODUCT(--ISNUMBER(SEARCH(" "&amp;$CR$206:$CR$305&amp;" ",$AA14)))),"")</f>
        <v>0</v>
      </c>
      <c r="AH14" s="209">
        <f>IF(14=14,IF($U14="","",SUMPRODUCT(--ISNUMBER(SEARCH(" "&amp;$CR$306:$CR$340&amp;" ",$AA14)))),"")</f>
        <v>0</v>
      </c>
      <c r="AI14" s="209" t="str">
        <f>IF(14=14,IF($U14="","",IF((SUM(AG14:AH14))-(0)&gt;0,"X",IF((0)-(0)&gt;0,"?",""))),"")</f>
        <v/>
      </c>
      <c r="AJ14" s="209">
        <f>IF(14=14,IF($U14="","",SUMPRODUCT(--ISNUMBER(SEARCH(" "&amp;$CR$341:$CR$398&amp;" ",$AA14)))),"")</f>
        <v>1</v>
      </c>
      <c r="AK14" s="209">
        <f>IF(14=14,IF($U14="","",SUMPRODUCT(--ISNUMBER(SEARCH(" "&amp;$CR$399:$CR$426&amp;" ",$AL14)))+SUMPRODUCT(--ISNUMBER(SEARCH(" "&amp;$CR$2440:$CR$2453&amp;" ",$AL14)))),"")</f>
        <v>0</v>
      </c>
      <c r="AL14" s="209" t="str">
        <f>IF(14=14,IF($U14="","",SUBSTITUTE(SUBSTITUTE(SUBSTITUTE(SUBSTITUTE(SUBSTITUTE(SUBSTITUTE(SUBSTITUTE(SUBSTITUTE(SUBSTITUTE(SUBSTITUTE(SUBSTITUTE(SUBSTITUTE(SUBSTITUTE(SUBSTITUTE($AA14,"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oeuf entier </v>
      </c>
      <c r="AM14" s="209" t="str">
        <f>IF(14=14,IF($U14="","",IF(AJ14&gt;0,"X",IF(AK14&gt;0,"?",""))),"")</f>
        <v>X</v>
      </c>
      <c r="AN14" s="209">
        <f>IF(14=14,IF($U14="","",SUMPRODUCT(--ISNUMBER(SEARCH(" "&amp;$CR$436:$CR$535&amp;" ",$AX14)))),"")</f>
        <v>0</v>
      </c>
      <c r="AO14" s="209">
        <f>IF(14=14,IF($U14="","",SUMPRODUCT(--ISNUMBER(SEARCH(" "&amp;$CR$536:$CR$635&amp;" ",$AX14)))),"")</f>
        <v>0</v>
      </c>
      <c r="AP14" s="209">
        <f>IF(14=14,IF($U14="","",SUMPRODUCT(--ISNUMBER(SEARCH(" "&amp;$CR$636:$CR$735&amp;" ",$AX14)))),"")</f>
        <v>0</v>
      </c>
      <c r="AQ14" s="209">
        <f>IF(14=14,IF($U14="","",SUMPRODUCT(--ISNUMBER(SEARCH(" "&amp;$CR$736:$CR$835&amp;" ",$AX14)))),"")</f>
        <v>0</v>
      </c>
      <c r="AR14" s="209">
        <f>IF(14=14,IF($U14="","",SUMPRODUCT(--ISNUMBER(SEARCH(" "&amp;$CR$836:$CR$935&amp;" ",$AX14)))),"")</f>
        <v>0</v>
      </c>
      <c r="AS14" s="209">
        <f>IF(14=14,IF($U14="","",SUMPRODUCT(--ISNUMBER(SEARCH(" "&amp;$CR$936:$CR$1035&amp;" ",$AX14)))),"")</f>
        <v>0</v>
      </c>
      <c r="AT14" s="209">
        <f>IF(14=14,IF($U14="","",SUMPRODUCT(--ISNUMBER(SEARCH(" "&amp;$CR$1036:$CR$1135&amp;" ",$AX14)))),"")</f>
        <v>0</v>
      </c>
      <c r="AU14" s="209">
        <f>IF(14=14,IF($U14="","",SUMPRODUCT(--ISNUMBER(SEARCH(" "&amp;$CR$1136:$CR$1235&amp;" ",$AX14)))),"")</f>
        <v>0</v>
      </c>
      <c r="AV14" s="209">
        <f>IF(14=14,IF($U14="","",SUMPRODUCT(--ISNUMBER(SEARCH(" "&amp;$CR$1236:$CR$1335&amp;" ",$AX14)))),"")</f>
        <v>0</v>
      </c>
      <c r="AW14" s="209">
        <f>IF(14=14,IF($U14="","",SUMPRODUCT(--ISNUMBER(SEARCH(" "&amp;$CR$1336:$CR$1363&amp;" ",$AX14)))),"")</f>
        <v>0</v>
      </c>
      <c r="AX14" s="209" t="str">
        <f>IF(14=14,IF($U14="","",SUBSTITUTE(SUBSTITUTE(SUBSTITUTE(SUBSTITUTE(SUBSTITUTE(SUBSTITUTE(SUBSTITUTE(SUBSTITUTE(SUBSTITUTE($AA14,"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oeuf entier </v>
      </c>
      <c r="AY14" s="209">
        <f>IF(14=14,IF($U14="","",SUMPRODUCT(--ISNUMBER(SEARCH(" "&amp;$CR$1373:$CR$1383&amp;" ",$AX14)))),"")</f>
        <v>0</v>
      </c>
      <c r="AZ14" s="209" t="str">
        <f>IF(14=14,IF($U14="","",IF(SUM(AN14:AW14)+SUMPRODUCT(--ISNUMBER(SEARCH(" "&amp;$CR$2421:$CR$2422&amp;" ",$AX14)))&gt;0,"X",IF(AY14&gt;0,"?",""))),"")</f>
        <v/>
      </c>
      <c r="BA14" s="209">
        <f>IF(14=14,IF($U14="","",SUMPRODUCT(--ISNUMBER(SEARCH(" "&amp;$CR$1384:$CR$1404&amp;" ",$AA14)))),"")</f>
        <v>0</v>
      </c>
      <c r="BB14" s="209" t="str">
        <f>IF(14=14,IF($U14="","",IF((BA14)-(0)&gt;0,"X",IF((0)-(0)&gt;0,"?",""))),"")</f>
        <v/>
      </c>
      <c r="BC14" s="209">
        <f>IF(14=14,IF($U14="","",SUMPRODUCT(--ISNUMBER(SEARCH(" "&amp;$CR$1405:$CR$1442&amp;" ",$BD14)))),"")</f>
        <v>0</v>
      </c>
      <c r="BD14" s="209" t="str">
        <f>IF(14=14,IF($U14="","",SUBSTITUTE(SUBSTITUTE($AA14," "&amp;$CR$1443&amp;" "," ")," "&amp;$CR$1444&amp;" "," ")),"")</f>
        <v xml:space="preserve"> oeuf entier </v>
      </c>
      <c r="BE14" s="209">
        <f>IF(14=14,IF($U14="","",SUMPRODUCT(--ISNUMBER(SEARCH(" "&amp;$CR$1445:$CR$1455&amp;" ",$BD14)))),"")</f>
        <v>0</v>
      </c>
      <c r="BF14" s="209" t="str">
        <f>IF(14=14,IF($U14="","",IF(BC14&gt;0,"X",IF(BE14&gt;0,"?",""))),"")</f>
        <v/>
      </c>
      <c r="BG14" s="209">
        <f>IF(14=14,IF($U14="","",SUMPRODUCT(--ISNUMBER(SEARCH(" "&amp;$CR$1456:$CR$1555&amp;" ",$BJ14)))),"")</f>
        <v>0</v>
      </c>
      <c r="BH14" s="209">
        <f>IF(14=14,IF($U14="","",SUMPRODUCT(--ISNUMBER(SEARCH(" "&amp;$CR$1556:$CR$1655&amp;" ",$BJ14)))),"")</f>
        <v>0</v>
      </c>
      <c r="BI14" s="209">
        <f>IF(14=14,IF($U14="","",SUMPRODUCT(--ISNUMBER(SEARCH(" "&amp;$CR$1656:$CR$1739&amp;" ",$BJ14)))),"")</f>
        <v>0</v>
      </c>
      <c r="BJ14" s="209" t="str">
        <f>IF(14=14,IF($U14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14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oeuf entier </v>
      </c>
      <c r="BK14" s="209">
        <f>IF(14=14,IF($U14="","",SUMPRODUCT(--ISNUMBER(SEARCH(" "&amp;$CR$1790:$CR$1869&amp;" ",$BL14)))+SUMPRODUCT(--ISNUMBER(SEARCH(" "&amp;$CR$2440:$CR$2453&amp;" ",$BL14)))),"")</f>
        <v>0</v>
      </c>
      <c r="BL14" s="209" t="str">
        <f>IF(14=14,IF($U14="","",SUBSTITUTE(SUBSTITUTE(SUBSTITUTE(SUBSTITUTE(SUBSTITUTE(SUBSTITUTE(SUBSTITUTE(SUBSTITUTE(SUBSTITUTE(SUBSTITUTE(SUBSTITUTE(SUBSTITUTE(SUBSTITUTE($BJ14,"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oeuf entier </v>
      </c>
      <c r="BM14" s="209" t="str">
        <f>IF(14=14,IF($U14="","",IF(SUM(BG14:BI14)+SUMPRODUCT(--ISNUMBER(SEARCH(" "&amp;$CR$2423:$CR$2424&amp;" ",$BJ14)))&gt;0,"X",IF(BK14&gt;0,"?",""))),"")</f>
        <v/>
      </c>
      <c r="BN14" s="209">
        <f>IF(14=14,IF($U14="","",SUMPRODUCT(--ISNUMBER(SEARCH(" "&amp;$CR$1879:$CR$1936&amp;" ",$BO14)))),"")</f>
        <v>0</v>
      </c>
      <c r="BO14" s="209" t="str">
        <f>IF(14=14,IF($U14="","",SUBSTITUTE(SUBSTITUTE(SUBSTITUTE(SUBSTITUTE(SUBSTITUTE(SUBSTITUTE(SUBSTITUTE(SUBSTITUTE(SUBSTITUTE(SUBSTITUTE(SUBSTITUTE(SUBSTITUTE(SUBSTITUTE(SUBSTITUTE(SUBSTITUTE(SUBSTITUTE(SUBSTITUTE(SUBSTITUTE(SUBSTITUTE(SUBSTITUTE(SUBSTITUTE(SUBSTITUTE(SUBSTITUTE($AA14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oeuf entier </v>
      </c>
      <c r="BP14" s="209">
        <f>IF(14=14,IF($U14="","",SUMPRODUCT(--ISNUMBER(SEARCH(" "&amp;$CR$1960:$CR$1976&amp;" ",$BO14)))),"")</f>
        <v>0</v>
      </c>
      <c r="BQ14" s="209" t="str">
        <f>IF(14=14,IF($U14="","",IF(BN14&gt;0,"X",IF(BP14&gt;0,"?",""))),"")</f>
        <v/>
      </c>
      <c r="BR14" s="209">
        <f>IF(14=14,IF($U14="","",SUMPRODUCT(--ISNUMBER(SEARCH(" "&amp;$CR$1977:$CR$1990&amp;" ",$AA14)))),"")</f>
        <v>0</v>
      </c>
      <c r="BS14" s="209">
        <f>IF(14=14,IF($U14="","",SUMPRODUCT(--ISNUMBER(SEARCH(" "&amp;$CR$1991:$CR$2005&amp;" ",$AA14)))),"")</f>
        <v>0</v>
      </c>
      <c r="BT14" s="209" t="str">
        <f>IF(14=14,IF($U14="","",IF((BR14)-(0)&gt;0,"X",IF((BS14)-(0)&gt;0,"?",""))),"")</f>
        <v/>
      </c>
      <c r="BU14" s="209">
        <f>IF(14=14,IF($U14="","",SUMPRODUCT(--ISNUMBER(SEARCH(" "&amp;$CR$2006:$CR$2023&amp;" ",$AA14)))),"")</f>
        <v>0</v>
      </c>
      <c r="BV14" s="209">
        <f>IF(14=14,IF($U14="","",SUMPRODUCT(--ISNUMBER(SEARCH(" "&amp;$CR$2024:$CR$2038&amp;" ",$AA14)))),"")</f>
        <v>0</v>
      </c>
      <c r="BW14" s="209" t="str">
        <f>IF(14=14,IF($U14="","",IF((BU14)-(0)&gt;0,"X",IF((BV14)-(0)&gt;0,"?",""))),"")</f>
        <v/>
      </c>
      <c r="BX14" s="209">
        <f>IF(14=14,IF($U14="","",SUMPRODUCT(--ISNUMBER(SEARCH(" "&amp;$CR$2039:$CR$2057&amp;" ",$AA14)))),"")</f>
        <v>0</v>
      </c>
      <c r="BY14" s="209">
        <f>IF(14=14,IF($U14="","",SUMPRODUCT(--ISNUMBER(SEARCH(" "&amp;$CR$2058:$CR$2072&amp;" ",$AA14)))),"")</f>
        <v>0</v>
      </c>
      <c r="BZ14" s="209" t="str">
        <f>IF(14=14,IF($U14="","",IF((BX14)-(0)&gt;0,"X",IF((BY14)-(0)&gt;0,"?",""))),"")</f>
        <v/>
      </c>
      <c r="CA14" s="209">
        <f>IF(14=14,IF($U14="","",SUMPRODUCT(--ISNUMBER(SEARCH(" "&amp;$CR$2073:$CR$2093&amp;" ",$AA14)))),"")</f>
        <v>0</v>
      </c>
      <c r="CB14" s="209">
        <f>IF(14=14,IF($U14="","",SUMPRODUCT(--ISNUMBER(SEARCH(" "&amp;$CR$2094:$CR$2133&amp;" ",SUBSTITUTE(SUBSTITUTE($AA14," "&amp;$CR$1367&amp;" "," ")," "&amp;$CR$1366&amp;" "," "))))+--ISNUMBER(SEARCH("poiré",$V14))),"")</f>
        <v>0</v>
      </c>
      <c r="CC14" s="209" t="str">
        <f>IF(14=14,IF($U14="","",IF(OR(CA14&gt;0,ISNUMBER(SEARCH(" vinaigre de vin ",$AA14)),ISNUMBER(SEARCH(" vinaigre au vin ",$AA14))),"X",IF(CB14&gt;0,"?",""))),"")</f>
        <v/>
      </c>
      <c r="CD14" s="209">
        <f>IF(14=14,IF($U14="","",SUMPRODUCT(--ISNUMBER(SEARCH(" "&amp;$CR$2134:$CR$2146&amp;" ",$AA14)))),"")</f>
        <v>0</v>
      </c>
      <c r="CE14" s="209">
        <f>IF(14=14,IF($U14="","",SUMPRODUCT(--ISNUMBER(SEARCH(" "&amp;$CR$2147:$CR$2152&amp;" ",$AA14)))),"")</f>
        <v>0</v>
      </c>
      <c r="CF14" s="209" t="str">
        <f>IF(14=14,IF($U14="","",IF((CD14)-(0)&gt;0,"X",IF((CE14)-(0)&gt;0,"?",""))),"")</f>
        <v/>
      </c>
      <c r="CG14" s="209">
        <f>IF(14=14,IF($U14="","",SUMPRODUCT(--ISNUMBER(SEARCH(" "&amp;$CR$2153:$CR$2252&amp;" ",$CJ14)))),"")</f>
        <v>0</v>
      </c>
      <c r="CH14" s="209">
        <f>IF(14=14,IF($U14="","",SUMPRODUCT(--ISNUMBER(SEARCH(" "&amp;$CR$2253:$CR$2352&amp;" ",$CJ14)))),"")</f>
        <v>0</v>
      </c>
      <c r="CI14" s="209">
        <f>IF(14=14,IF($U14="","",SUMPRODUCT(--ISNUMBER(SEARCH(" "&amp;$CR$2353:$CR$2395&amp;" ",$CJ14)))),"")</f>
        <v>0</v>
      </c>
      <c r="CJ14" s="209" t="str">
        <f>IF(14=14,IF($U14="","",SUBSTITUTE(SUBSTITUTE(SUBSTITUTE(SUBSTITUTE(SUBSTITUTE(SUBSTITUTE(SUBSTITUTE(SUBSTITUTE(SUBSTITUTE(SUBSTITUTE(SUBSTITUTE(SUBSTITUTE(SUBSTITUTE(SUBSTITUTE(SUBSTITUTE(SUBSTITUTE($AA14,"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oeuf entier </v>
      </c>
      <c r="CK14" s="209">
        <f>IF(14=14,IF($U14="","",SUMPRODUCT(--ISNUMBER(SEARCH(" "&amp;$CR$2412:$CR$2416&amp;" ",$CJ14)))),"")</f>
        <v>0</v>
      </c>
      <c r="CL14" s="209" t="str">
        <f>IF(14=14,IF($U14="","",IF(SUM(CG14:CI14)&gt;0,"X",IF(CK14&gt;0,"?",""))),"")</f>
        <v/>
      </c>
      <c r="CM14" s="210"/>
      <c r="CN14" s="213" t="s">
        <v>993</v>
      </c>
      <c r="CO14" s="213" t="s">
        <v>878</v>
      </c>
      <c r="CP14" s="213" t="s">
        <v>879</v>
      </c>
      <c r="CQ14" s="213" t="s">
        <v>994</v>
      </c>
      <c r="CR14" s="213" t="s">
        <v>994</v>
      </c>
      <c r="CS14" s="213" t="s">
        <v>881</v>
      </c>
      <c r="CT14" s="213" t="s">
        <v>882</v>
      </c>
      <c r="CU14" s="213" t="s">
        <v>883</v>
      </c>
      <c r="CV14" s="214" t="s">
        <v>884</v>
      </c>
      <c r="CX14" s="212">
        <v>1</v>
      </c>
    </row>
    <row r="15" spans="1:102" ht="21" customHeight="1">
      <c r="A15" s="229">
        <v>9</v>
      </c>
      <c r="B15" s="230" t="s">
        <v>6458</v>
      </c>
      <c r="C15" s="231" t="str">
        <f t="shared" si="0"/>
        <v>Liqueur de crème / crème de whisky *</v>
      </c>
      <c r="D15" s="232" t="str">
        <f>IF(15=15,IF($B15="","",IF(E15="X",""&amp;"Céréales contenant du gluten","")&amp;IF(F15="X",IF(COUNTIF($E15:$E15,"X")&gt;0,", ","")&amp;"Crustacés","")&amp;IF(G15="X",IF(COUNTIF($E15:$F15,"X")&gt;0,", ","")&amp;"Œufs","")&amp;IF(H15="X",IF(COUNTIF($E15:$G15,"X")&gt;0,", ","")&amp;"Poissons","")&amp;IF(I15="X",IF(COUNTIF($E15:$H15,"X")&gt;0,", ","")&amp;"Arachides","")&amp;IF(J15="X",IF(COUNTIF($E15:$I15,"X")&gt;0,", ","")&amp;"Soja","")&amp;IF(K15="X",IF(COUNTIF($E15:$J15,"X")&gt;0,", ","")&amp;"Lait","")&amp;IF(L15="X",IF(COUNTIF($E15:$K15,"X")&gt;0,", ","")&amp;"Fruits à coque","")&amp;IF(M15="X",IF(COUNTIF($E15:$L15,"X")&gt;0,", ","")&amp;"Céleri","")&amp;IF(N15="X",IF(COUNTIF($E15:$M15,"X")&gt;0,", ","")&amp;"Moutarde","")&amp;IF(O15="X",IF(COUNTIF($E15:$N15,"X")&gt;0,", ","")&amp;"Sésame","")&amp;IF(P15="X",IF(COUNTIF($E15:$O15,"X")&gt;0,", ","")&amp;"Sulfites","")&amp;IF(Q15="X",IF(COUNTIF($E15:$P15,"X")&gt;0,", ","")&amp;"Lupin","")&amp;IF(R15="X",IF(COUNTIF($E15:$Q15,"X")&gt;0,", ","")&amp;"Mollusques","")),"")</f>
        <v>Lait</v>
      </c>
      <c r="E15" s="233" t="str">
        <f>IF(15=15,IF($B15="","",IF(OR(ISNUMBER(SEARCH(" biere sans gluten ",$AA15)),ISNUMBER(SEARCH(" gluten free beer ",$AA15)),ISNUMBER(SEARCH(" beer gluten free ",$AA15))),"",IF(AF15="X","X",IF(OR(AF15="?",OR(ISNUMBER(SEARCH(" worcestershire ",$AA15)),ISNUMBER(SEARCH(" bloody mary ",$AA15)))),"?","")))),"")</f>
        <v/>
      </c>
      <c r="F15" s="233" t="str">
        <f>IF(15=15,IF($B15="","",AI15),"")</f>
        <v/>
      </c>
      <c r="G15" s="233" t="str">
        <f>IF(15=15,IF($B15="","",IF(OR(TRIM($AA15)="puree pate d amande",TRIM($AA15)="pate puree d amande",TRIM($AA15)="puree d amande",TRIM($AA15)="pate d amande",TRIM($AA15)="pate puree de noisette",TRIM($AA15)="puree pate de noisette",TRIM($AA15)="puree de noisette",TRIM($AA15)="pate de noisette"),"",IF(OR(AM15="X",OR(ISNUMBER(SEARCH(" macaron ",$AA15)),ISNUMBER(SEARCH(" egg nog ",$AA15)),ISNUMBER(SEARCH(" eggnog ",$AA15)))),"X",IF(OR(AM15="?",OR(ISNUMBER(SEARCH(" biscuit decoratif ",$AA15)),ISNUMBER(SEARCH(" whisky sour ",$AA15)),ISNUMBER(SEARCH(" whiskey sour ",$AA15)),ISNUMBER(SEARCH(" amaretto sour ",$AA15)),ISNUMBER(SEARCH(" pisco sour ",$AA15)),ISNUMBER(SEARCH(" clover club ",$AA15)),ISNUMBER(SEARCH(" ramos gin fizz ",$AA15)))),"?","")))),"")</f>
        <v/>
      </c>
      <c r="H15" s="233" t="str">
        <f>IF(15=15,IF($B15="","",IF(ISNUMBER(SEARCH(" colin ",$AA15)),"X",IF(AZ15="X","X",IF(OR(AZ15="?",OR(ISNUMBER(SEARCH(" worcestershire ",$AA15)),ISNUMBER(SEARCH(" bloody mary ",$AA15)))),"?","")))),"")</f>
        <v/>
      </c>
      <c r="I15" s="233" t="str">
        <f>IF(15=15,IF($B15="","",BB15),"")</f>
        <v/>
      </c>
      <c r="J15" s="233" t="str">
        <f>IF(15=15,IF($B15="","",BF15),"")</f>
        <v/>
      </c>
      <c r="K15" s="233" t="str">
        <f>IF(15=15,IF($B15="","",IF(OR(OR(TRIM($AA15)="puree pate d amande",TRIM($AA15)="pate puree d amande",TRIM($AA15)="puree d amande",TRIM($AA15)="pate d amande",TRIM($AA15)="pate puree de noisette",TRIM($AA15)="puree pate de noisette",TRIM($AA15)="puree de noisette",TRIM($AA15)="pate de noisette"),OR(TRIM($AA15)="beurre puree d arachide",TRIM($AA15)="beurre d arachide",TRIM($AA15)="puree d arachide"),OR(TRIM($AA15)="tahini puree de sesame",TRIM($AA15)="tahini",TRIM($AA15)="puree de sesame")),"",IF(OR(TRIM($AA15)="creme de cassis",TRIM($AA15)="creme de menthe",TRIM($AA15)="creme de cacao",TRIM($AA15)="creme de mure",TRIM($AA15)="creme de framboise",TRIM($AA15)="creme de peche",TRIM($AA15)="creme de banane",TRIM($AA15)="liqueur creme de coco",TRIM($AA15)="creme de coco",TRIM($AA15)="spiritueux aromatise arrange creme de spiritueux"),"?",IF(OR(BM15="X",OR(ISNUMBER(SEARCH(" baileys ",$AA15)),ISNUMBER(SEARCH(" irish cream ",$AA15)),ISNUMBER(SEARCH(" creme de whisky ",$AA15)))),"X",IF(OR(BM15="?",OR(OR(TRIM($AA15)="creme de cassis",TRIM($AA15)="creme de menthe",TRIM($AA15)="creme de cacao",TRIM($AA15)="creme de mure",TRIM($AA15)="creme de framboise",TRIM($AA15)="creme de peche",TRIM($AA15)="creme de banane",TRIM($AA15)="liqueur creme de coco",TRIM($AA15)="creme de coco",TRIM($AA15)="spiritueux aromatise arrange creme de spiritueux"),ISNUMBER(SEARCH(" advocaat ",$AA15)),ISNUMBER(SEARCH(" liqueur aux oeufs ",$AA15)),ISNUMBER(SEARCH(" liqueur de chocolat ",$AA15)),ISNUMBER(SEARCH(" liqueur de caramel ",$AA15)),ISNUMBER(SEARCH(" sauce nappage chocolat ",$AA15)),ISNUMBER(SEARCH(" biscuit decoratif ",$AA15)),ISNUMBER(SEARCH(" white russian ",$AA15)),ISNUMBER(SEARCH(" grasshopper ",$AA15)),ISNUMBER(SEARCH(" irish coffee ",$AA15)),ISNUMBER(SEARCH(" ramos gin fizz ",$AA15)),ISNUMBER(SEARCH(" egg nog ",$AA15)),ISNUMBER(SEARCH(" eggnog ",$AA15)))),"?",""))))),"")</f>
        <v>X</v>
      </c>
      <c r="L15" s="233" t="str">
        <f>IF(15=15,IF($B15="","",IF(OR(BQ15="X",OR(OR(TRIM($AA15)="puree pate d amande",TRIM($AA15)="pate puree d amande",TRIM($AA15)="puree d amande",TRIM($AA15)="pate d amande",TRIM($AA15)="pate puree de noisette",TRIM($AA15)="puree pate de noisette",TRIM($AA15)="puree de noisette",TRIM($AA15)="pate de noisette"),ISNUMBER(SEARCH(" macaron ",$AA15)),TRIM($AA15)="fruits a coque")),"X",IF(OR(BQ15="?",OR(ISNUMBER(SEARCH(" sirop d orgeat ",$AA15)),ISNUMBER(SEARCH(" orgeat ",$AA15)),ISNUMBER(SEARCH(" amaretto ",$AA15)))),"?",""))),"")</f>
        <v/>
      </c>
      <c r="M15" s="233" t="str">
        <f>IF(15=15,IF($B15="","",IF(OR(OR(TRIM($AA15)="puree pate d amande",TRIM($AA15)="pate puree d amande",TRIM($AA15)="puree d amande",TRIM($AA15)="pate d amande",TRIM($AA15)="pate puree de noisette",TRIM($AA15)="puree pate de noisette",TRIM($AA15)="puree de noisette",TRIM($AA15)="pate de noisette"),OR(TRIM($AA15)="tahini puree de sesame",TRIM($AA15)="tahini",TRIM($AA15)="puree de sesame")),"",IF(BT15="X","X",IF(OR(BT15="?",ISNUMBER(SEARCH(" bloody mary ",$AA15))),"?","")))),"")</f>
        <v/>
      </c>
      <c r="N15" s="233" t="str">
        <f>IF(15=15,IF($B15="","",IF(OR(OR(TRIM($AA15)="puree pate d amande",TRIM($AA15)="pate puree d amande",TRIM($AA15)="puree d amande",TRIM($AA15)="pate d amande",TRIM($AA15)="pate puree de noisette",TRIM($AA15)="puree pate de noisette",TRIM($AA15)="puree de noisette",TRIM($AA15)="pate de noisette"),OR(TRIM($AA15)="tahini puree de sesame",TRIM($AA15)="tahini",TRIM($AA15)="puree de sesame")),"",IF(BW15="X","X",IF(OR(BW15="?",ISNUMBER(SEARCH(" bloody mary ",$AA15))),"?","")))),"")</f>
        <v/>
      </c>
      <c r="O15" s="233" t="str">
        <f>IF(15=15,IF($B15="","",BZ15),"")</f>
        <v/>
      </c>
      <c r="P15" s="233" t="str">
        <f>IF(15=15,IF($B15="","",CC15),"")</f>
        <v/>
      </c>
      <c r="Q15" s="233" t="str">
        <f>IF(15=15,IF($B15="","",CF15),"")</f>
        <v/>
      </c>
      <c r="R15" s="233" t="str">
        <f>IF(15=15,IF($B15="","",IF(TRIM($AA15)="fruits a coque","",IF(CL15="X","X",IF(OR(CL15="?",OR(ISNUMBER(SEARCH(" clamato ",$AA15)),ISNUMBER(SEARCH(" bloody caesar ",$AA15)))),"?","")))),"")</f>
        <v/>
      </c>
      <c r="S15" s="234" t="str">
        <f>IF(15=15,IF($B15="","",IF(E15="?",""&amp;"Céréales contenant du gluten","")&amp;IF(F15="?",IF(COUNTIF($E15:$E15,"~?")&gt;0,", ","")&amp;"Crustacés","")&amp;IF(G15="?",IF(COUNTIF($E15:$F15,"~?")&gt;0,", ","")&amp;"Œufs","")&amp;IF(H15="?",IF(COUNTIF($E15:$G15,"~?")&gt;0,", ","")&amp;"Poissons","")&amp;IF(I15="?",IF(COUNTIF($E15:$H15,"~?")&gt;0,", ","")&amp;"Arachides","")&amp;IF(J15="?",IF(COUNTIF($E15:$I15,"~?")&gt;0,", ","")&amp;"Soja","")&amp;IF(K15="?",IF(COUNTIF($E15:$J15,"~?")&gt;0,", ","")&amp;"Lait","")&amp;IF(L15="?",IF(COUNTIF($E15:$K15,"~?")&gt;0,", ","")&amp;"Fruits à coque","")&amp;IF(M15="?",IF(COUNTIF($E15:$L15,"~?")&gt;0,", ","")&amp;"Céleri","")&amp;IF(N15="?",IF(COUNTIF($E15:$M15,"~?")&gt;0,", ","")&amp;"Moutarde","")&amp;IF(O15="?",IF(COUNTIF($E15:$N15,"~?")&gt;0,", ","")&amp;"Sésame","")&amp;IF(P15="?",IF(COUNTIF($E15:$O15,"~?")&gt;0,", ","")&amp;"Sulfites","")&amp;IF(Q15="?",IF(COUNTIF($E15:$P15,"~?")&gt;0,", ","")&amp;"Lupin","")&amp;IF(R15="?",IF(COUNTIF($E15:$Q15,"~?")&gt;0,", ","")&amp;"Mollusques","")),"")</f>
        <v/>
      </c>
      <c r="U15" s="209" t="str">
        <f>IF(15=15,IF($B15="","",$B15),"")</f>
        <v>Liqueur de crème / crème de whisky</v>
      </c>
      <c r="V15" s="209" t="str">
        <f>IF(15=15,LOWER(CLEAN(SUBSTITUTE(SUBSTITUTE(SUBSTITUTE(SUBSTITUTE($U15,CHAR(160)," ")," "," "),CHAR(10)," "),CHAR(13)," "))),"")</f>
        <v>liqueur de crème / crème de whisky</v>
      </c>
      <c r="W15" s="209" t="str">
        <f>IF(15=15,SUBSTITUTE(SUBSTITUTE(SUBSTITUTE(SUBSTITUTE(SUBSTITUTE(SUBSTITUTE(SUBSTITUTE(SUBSTITUTE(SUBSTITUTE(SUBSTITUTE(SUBSTITUTE(SUBSTITUTE($V15,"œ","oe"),"æ","ae"),"à","a"),"á","a"),"â","a"),"ä","a"),"ã","a"),"ç","c"),"è","e"),"é","e"),"ê","e"),"ë","e"),"")</f>
        <v>liqueur de creme / creme de whisky</v>
      </c>
      <c r="X15" s="209" t="str">
        <f>IF(15=15,SUBSTITUTE(SUBSTITUTE(SUBSTITUTE(SUBSTITUTE(SUBSTITUTE(SUBSTITUTE(SUBSTITUTE(SUBSTITUTE(SUBSTITUTE(SUBSTITUTE(SUBSTITUTE(SUBSTITUTE(SUBSTITUTE(SUBSTITUTE(SUBSTITUTE(SUBSTITUTE($W15,"ì","i"),"í","i"),"î","i"),"ï","i"),"ñ","n"),"ò","o"),"ó","o"),"ô","o"),"ö","o"),"õ","o"),"ù","u"),"ú","u"),"û","u"),"ü","u"),"ý","y"),"ÿ","y"),"")</f>
        <v>liqueur de creme / creme de whisky</v>
      </c>
      <c r="Y15" s="209" t="str">
        <f>IF(15=15,SUBSTITUTE(SUBSTITUTE(SUBSTITUTE(SUBSTITUTE(SUBSTITUTE(SUBSTITUTE(SUBSTITUTE(SUBSTITUTE(SUBSTITUTE(SUBSTITUTE(SUBSTITUTE(SUBSTITUTE(SUBSTITUTE(SUBSTITUTE($X15,"’"," "),"`"," "),"–"," "),"—"," "),"-"," "),"'"," "),"/"," "),"_"," "),","," "),"."," "),"("," "),")"," "),";"," "),":"," "),"")</f>
        <v>liqueur de creme   creme de whisky</v>
      </c>
      <c r="Z15" s="209" t="str">
        <f>IF(15=15,SUBSTITUTE(SUBSTITUTE(SUBSTITUTE(SUBSTITUTE(SUBSTITUTE(SUBSTITUTE(SUBSTITUTE(SUBSTITUTE(SUBSTITUTE(SUBSTITUTE(SUBSTITUTE(SUBSTITUTE(SUBSTITUTE(SUBSTITUTE(SUBSTITUTE($Y15,"!"," "),"?"," "),"+"," "),"*"," "),"&amp;"," "),"["," "),"]"," "),"{"," "),"}"," "),"%"," "),"="," "),"\"," "),"|"," "),"&lt;"," "),"&gt;"," "),"")</f>
        <v>liqueur de creme   creme de whisky</v>
      </c>
      <c r="AA15" s="209" t="str">
        <f>IF(15=15," "&amp;TRIM(SUBSTITUTE(SUBSTITUTE(SUBSTITUTE(SUBSTITUTE(SUBSTITUTE(SUBSTITUTE($Z15,CHAR(34)," "),"  "," "),"  "," "),"  "," "),"  "," "),"  "," "))&amp;" ","")</f>
        <v xml:space="preserve"> liqueur de creme creme de whisky </v>
      </c>
      <c r="AB15" s="209">
        <f>IF(15=15,IF($U15="","",SUMPRODUCT(--ISNUMBER(SEARCH(" "&amp;$CR$2:$CR$101&amp;" ",$AD15)))),"")</f>
        <v>0</v>
      </c>
      <c r="AC15" s="209">
        <f>IF(15=15,IF($U15="","",SUMPRODUCT(--ISNUMBER(SEARCH(" "&amp;$CR$102:$CR$151&amp;" ",$AD15)))),"")</f>
        <v>0</v>
      </c>
      <c r="AD15" s="209" t="str">
        <f t="shared" si="1"/>
        <v xml:space="preserve"> liqueur de creme creme de </v>
      </c>
      <c r="AE15" s="209">
        <f t="shared" si="2"/>
        <v>0</v>
      </c>
      <c r="AF15" s="209" t="str">
        <f>IF(15=15,IF($U15="","",IF(SUM(AB15:AC15)+SUMPRODUCT(--ISNUMBER(SEARCH(" "&amp;$CR$2418:$CR$2420&amp;" ",$AD15)))&gt;0,"X",IF(AE15&gt;0,"?",""))),"")</f>
        <v/>
      </c>
      <c r="AG15" s="209">
        <f>IF(15=15,IF($U15="","",SUMPRODUCT(--ISNUMBER(SEARCH(" "&amp;$CR$206:$CR$305&amp;" ",$AA15)))),"")</f>
        <v>0</v>
      </c>
      <c r="AH15" s="209">
        <f>IF(15=15,IF($U15="","",SUMPRODUCT(--ISNUMBER(SEARCH(" "&amp;$CR$306:$CR$340&amp;" ",$AA15)))),"")</f>
        <v>0</v>
      </c>
      <c r="AI15" s="209" t="str">
        <f>IF(15=15,IF($U15="","",IF((SUM(AG15:AH15))-(0)&gt;0,"X",IF((0)-(0)&gt;0,"?",""))),"")</f>
        <v/>
      </c>
      <c r="AJ15" s="209">
        <f>IF(15=15,IF($U15="","",SUMPRODUCT(--ISNUMBER(SEARCH(" "&amp;$CR$341:$CR$398&amp;" ",$AA15)))),"")</f>
        <v>0</v>
      </c>
      <c r="AK15" s="209">
        <f>IF(15=15,IF($U15="","",SUMPRODUCT(--ISNUMBER(SEARCH(" "&amp;$CR$399:$CR$426&amp;" ",$AL15)))+SUMPRODUCT(--ISNUMBER(SEARCH(" "&amp;$CR$2440:$CR$2453&amp;" ",$AL15)))),"")</f>
        <v>0</v>
      </c>
      <c r="AL15" s="209" t="str">
        <f>IF(15=15,IF($U15="","",SUBSTITUTE(SUBSTITUTE(SUBSTITUTE(SUBSTITUTE(SUBSTITUTE(SUBSTITUTE(SUBSTITUTE(SUBSTITUTE(SUBSTITUTE(SUBSTITUTE(SUBSTITUTE(SUBSTITUTE(SUBSTITUTE(SUBSTITUTE($AA15,"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liqueur de creme creme de whisky </v>
      </c>
      <c r="AM15" s="209" t="str">
        <f>IF(15=15,IF($U15="","",IF(AJ15&gt;0,"X",IF(AK15&gt;0,"?",""))),"")</f>
        <v/>
      </c>
      <c r="AN15" s="209">
        <f>IF(15=15,IF($U15="","",SUMPRODUCT(--ISNUMBER(SEARCH(" "&amp;$CR$436:$CR$535&amp;" ",$AX15)))),"")</f>
        <v>0</v>
      </c>
      <c r="AO15" s="209">
        <f>IF(15=15,IF($U15="","",SUMPRODUCT(--ISNUMBER(SEARCH(" "&amp;$CR$536:$CR$635&amp;" ",$AX15)))),"")</f>
        <v>0</v>
      </c>
      <c r="AP15" s="209">
        <f>IF(15=15,IF($U15="","",SUMPRODUCT(--ISNUMBER(SEARCH(" "&amp;$CR$636:$CR$735&amp;" ",$AX15)))),"")</f>
        <v>0</v>
      </c>
      <c r="AQ15" s="209">
        <f>IF(15=15,IF($U15="","",SUMPRODUCT(--ISNUMBER(SEARCH(" "&amp;$CR$736:$CR$835&amp;" ",$AX15)))),"")</f>
        <v>0</v>
      </c>
      <c r="AR15" s="209">
        <f>IF(15=15,IF($U15="","",SUMPRODUCT(--ISNUMBER(SEARCH(" "&amp;$CR$836:$CR$935&amp;" ",$AX15)))),"")</f>
        <v>0</v>
      </c>
      <c r="AS15" s="209">
        <f>IF(15=15,IF($U15="","",SUMPRODUCT(--ISNUMBER(SEARCH(" "&amp;$CR$936:$CR$1035&amp;" ",$AX15)))),"")</f>
        <v>0</v>
      </c>
      <c r="AT15" s="209">
        <f>IF(15=15,IF($U15="","",SUMPRODUCT(--ISNUMBER(SEARCH(" "&amp;$CR$1036:$CR$1135&amp;" ",$AX15)))),"")</f>
        <v>0</v>
      </c>
      <c r="AU15" s="209">
        <f>IF(15=15,IF($U15="","",SUMPRODUCT(--ISNUMBER(SEARCH(" "&amp;$CR$1136:$CR$1235&amp;" ",$AX15)))),"")</f>
        <v>0</v>
      </c>
      <c r="AV15" s="209">
        <f>IF(15=15,IF($U15="","",SUMPRODUCT(--ISNUMBER(SEARCH(" "&amp;$CR$1236:$CR$1335&amp;" ",$AX15)))),"")</f>
        <v>0</v>
      </c>
      <c r="AW15" s="209">
        <f>IF(15=15,IF($U15="","",SUMPRODUCT(--ISNUMBER(SEARCH(" "&amp;$CR$1336:$CR$1363&amp;" ",$AX15)))),"")</f>
        <v>0</v>
      </c>
      <c r="AX15" s="209" t="str">
        <f>IF(15=15,IF($U15="","",SUBSTITUTE(SUBSTITUTE(SUBSTITUTE(SUBSTITUTE(SUBSTITUTE(SUBSTITUTE(SUBSTITUTE(SUBSTITUTE(SUBSTITUTE($AA15,"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liqueur de creme creme de whisky </v>
      </c>
      <c r="AY15" s="209">
        <f>IF(15=15,IF($U15="","",SUMPRODUCT(--ISNUMBER(SEARCH(" "&amp;$CR$1373:$CR$1383&amp;" ",$AX15)))),"")</f>
        <v>0</v>
      </c>
      <c r="AZ15" s="209" t="str">
        <f>IF(15=15,IF($U15="","",IF(SUM(AN15:AW15)+SUMPRODUCT(--ISNUMBER(SEARCH(" "&amp;$CR$2421:$CR$2422&amp;" ",$AX15)))&gt;0,"X",IF(AY15&gt;0,"?",""))),"")</f>
        <v/>
      </c>
      <c r="BA15" s="209">
        <f>IF(15=15,IF($U15="","",SUMPRODUCT(--ISNUMBER(SEARCH(" "&amp;$CR$1384:$CR$1404&amp;" ",$AA15)))),"")</f>
        <v>0</v>
      </c>
      <c r="BB15" s="209" t="str">
        <f>IF(15=15,IF($U15="","",IF((BA15)-(0)&gt;0,"X",IF((0)-(0)&gt;0,"?",""))),"")</f>
        <v/>
      </c>
      <c r="BC15" s="209">
        <f>IF(15=15,IF($U15="","",SUMPRODUCT(--ISNUMBER(SEARCH(" "&amp;$CR$1405:$CR$1442&amp;" ",$BD15)))),"")</f>
        <v>0</v>
      </c>
      <c r="BD15" s="209" t="str">
        <f>IF(15=15,IF($U15="","",SUBSTITUTE(SUBSTITUTE($AA15," "&amp;$CR$1443&amp;" "," ")," "&amp;$CR$1444&amp;" "," ")),"")</f>
        <v xml:space="preserve"> liqueur de creme creme de whisky </v>
      </c>
      <c r="BE15" s="209">
        <f>IF(15=15,IF($U15="","",SUMPRODUCT(--ISNUMBER(SEARCH(" "&amp;$CR$1445:$CR$1455&amp;" ",$BD15)))),"")</f>
        <v>0</v>
      </c>
      <c r="BF15" s="209" t="str">
        <f>IF(15=15,IF($U15="","",IF(BC15&gt;0,"X",IF(BE15&gt;0,"?",""))),"")</f>
        <v/>
      </c>
      <c r="BG15" s="209">
        <f>IF(15=15,IF($U15="","",SUMPRODUCT(--ISNUMBER(SEARCH(" "&amp;$CR$1456:$CR$1555&amp;" ",$BJ15)))),"")</f>
        <v>2</v>
      </c>
      <c r="BH15" s="209">
        <f>IF(15=15,IF($U15="","",SUMPRODUCT(--ISNUMBER(SEARCH(" "&amp;$CR$1556:$CR$1655&amp;" ",$BJ15)))),"")</f>
        <v>0</v>
      </c>
      <c r="BI15" s="209">
        <f>IF(15=15,IF($U15="","",SUMPRODUCT(--ISNUMBER(SEARCH(" "&amp;$CR$1656:$CR$1739&amp;" ",$BJ15)))),"")</f>
        <v>0</v>
      </c>
      <c r="BJ15" s="209" t="str">
        <f>IF(15=15,IF($U15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15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liqueur de creme creme de whisky </v>
      </c>
      <c r="BK15" s="209">
        <f>IF(15=15,IF($U15="","",SUMPRODUCT(--ISNUMBER(SEARCH(" "&amp;$CR$1790:$CR$1869&amp;" ",$BL15)))+SUMPRODUCT(--ISNUMBER(SEARCH(" "&amp;$CR$2440:$CR$2453&amp;" ",$BL15)))),"")</f>
        <v>1</v>
      </c>
      <c r="BL15" s="209" t="str">
        <f>IF(15=15,IF($U15="","",SUBSTITUTE(SUBSTITUTE(SUBSTITUTE(SUBSTITUTE(SUBSTITUTE(SUBSTITUTE(SUBSTITUTE(SUBSTITUTE(SUBSTITUTE(SUBSTITUTE(SUBSTITUTE(SUBSTITUTE(SUBSTITUTE($BJ15,"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liqueur de creme creme de whisky </v>
      </c>
      <c r="BM15" s="209" t="str">
        <f>IF(15=15,IF($U15="","",IF(SUM(BG15:BI15)+SUMPRODUCT(--ISNUMBER(SEARCH(" "&amp;$CR$2423:$CR$2424&amp;" ",$BJ15)))&gt;0,"X",IF(BK15&gt;0,"?",""))),"")</f>
        <v>X</v>
      </c>
      <c r="BN15" s="209">
        <f>IF(15=15,IF($U15="","",SUMPRODUCT(--ISNUMBER(SEARCH(" "&amp;$CR$1879:$CR$1936&amp;" ",$BO15)))),"")</f>
        <v>0</v>
      </c>
      <c r="BO15" s="209" t="str">
        <f>IF(15=15,IF($U15="","",SUBSTITUTE(SUBSTITUTE(SUBSTITUTE(SUBSTITUTE(SUBSTITUTE(SUBSTITUTE(SUBSTITUTE(SUBSTITUTE(SUBSTITUTE(SUBSTITUTE(SUBSTITUTE(SUBSTITUTE(SUBSTITUTE(SUBSTITUTE(SUBSTITUTE(SUBSTITUTE(SUBSTITUTE(SUBSTITUTE(SUBSTITUTE(SUBSTITUTE(SUBSTITUTE(SUBSTITUTE(SUBSTITUTE($AA15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liqueur de creme creme de whisky </v>
      </c>
      <c r="BP15" s="209">
        <f>IF(15=15,IF($U15="","",SUMPRODUCT(--ISNUMBER(SEARCH(" "&amp;$CR$1960:$CR$1976&amp;" ",$BO15)))),"")</f>
        <v>0</v>
      </c>
      <c r="BQ15" s="209" t="str">
        <f>IF(15=15,IF($U15="","",IF(BN15&gt;0,"X",IF(BP15&gt;0,"?",""))),"")</f>
        <v/>
      </c>
      <c r="BR15" s="209">
        <f>IF(15=15,IF($U15="","",SUMPRODUCT(--ISNUMBER(SEARCH(" "&amp;$CR$1977:$CR$1990&amp;" ",$AA15)))),"")</f>
        <v>0</v>
      </c>
      <c r="BS15" s="209">
        <f>IF(15=15,IF($U15="","",SUMPRODUCT(--ISNUMBER(SEARCH(" "&amp;$CR$1991:$CR$2005&amp;" ",$AA15)))),"")</f>
        <v>0</v>
      </c>
      <c r="BT15" s="209" t="str">
        <f>IF(15=15,IF($U15="","",IF((BR15)-(0)&gt;0,"X",IF((BS15)-(0)&gt;0,"?",""))),"")</f>
        <v/>
      </c>
      <c r="BU15" s="209">
        <f>IF(15=15,IF($U15="","",SUMPRODUCT(--ISNUMBER(SEARCH(" "&amp;$CR$2006:$CR$2023&amp;" ",$AA15)))),"")</f>
        <v>0</v>
      </c>
      <c r="BV15" s="209">
        <f>IF(15=15,IF($U15="","",SUMPRODUCT(--ISNUMBER(SEARCH(" "&amp;$CR$2024:$CR$2038&amp;" ",$AA15)))),"")</f>
        <v>0</v>
      </c>
      <c r="BW15" s="209" t="str">
        <f>IF(15=15,IF($U15="","",IF((BU15)-(0)&gt;0,"X",IF((BV15)-(0)&gt;0,"?",""))),"")</f>
        <v/>
      </c>
      <c r="BX15" s="209">
        <f>IF(15=15,IF($U15="","",SUMPRODUCT(--ISNUMBER(SEARCH(" "&amp;$CR$2039:$CR$2057&amp;" ",$AA15)))),"")</f>
        <v>0</v>
      </c>
      <c r="BY15" s="209">
        <f>IF(15=15,IF($U15="","",SUMPRODUCT(--ISNUMBER(SEARCH(" "&amp;$CR$2058:$CR$2072&amp;" ",$AA15)))),"")</f>
        <v>0</v>
      </c>
      <c r="BZ15" s="209" t="str">
        <f>IF(15=15,IF($U15="","",IF((BX15)-(0)&gt;0,"X",IF((BY15)-(0)&gt;0,"?",""))),"")</f>
        <v/>
      </c>
      <c r="CA15" s="209">
        <f>IF(15=15,IF($U15="","",SUMPRODUCT(--ISNUMBER(SEARCH(" "&amp;$CR$2073:$CR$2093&amp;" ",$AA15)))),"")</f>
        <v>0</v>
      </c>
      <c r="CB15" s="209">
        <f>IF(15=15,IF($U15="","",SUMPRODUCT(--ISNUMBER(SEARCH(" "&amp;$CR$2094:$CR$2133&amp;" ",SUBSTITUTE(SUBSTITUTE($AA15," "&amp;$CR$1367&amp;" "," ")," "&amp;$CR$1366&amp;" "," "))))+--ISNUMBER(SEARCH("poiré",$V15))),"")</f>
        <v>0</v>
      </c>
      <c r="CC15" s="209" t="str">
        <f>IF(15=15,IF($U15="","",IF(OR(CA15&gt;0,ISNUMBER(SEARCH(" vinaigre de vin ",$AA15)),ISNUMBER(SEARCH(" vinaigre au vin ",$AA15))),"X",IF(CB15&gt;0,"?",""))),"")</f>
        <v/>
      </c>
      <c r="CD15" s="209">
        <f>IF(15=15,IF($U15="","",SUMPRODUCT(--ISNUMBER(SEARCH(" "&amp;$CR$2134:$CR$2146&amp;" ",$AA15)))),"")</f>
        <v>0</v>
      </c>
      <c r="CE15" s="209">
        <f>IF(15=15,IF($U15="","",SUMPRODUCT(--ISNUMBER(SEARCH(" "&amp;$CR$2147:$CR$2152&amp;" ",$AA15)))),"")</f>
        <v>0</v>
      </c>
      <c r="CF15" s="209" t="str">
        <f>IF(15=15,IF($U15="","",IF((CD15)-(0)&gt;0,"X",IF((CE15)-(0)&gt;0,"?",""))),"")</f>
        <v/>
      </c>
      <c r="CG15" s="209">
        <f>IF(15=15,IF($U15="","",SUMPRODUCT(--ISNUMBER(SEARCH(" "&amp;$CR$2153:$CR$2252&amp;" ",$CJ15)))),"")</f>
        <v>0</v>
      </c>
      <c r="CH15" s="209">
        <f>IF(15=15,IF($U15="","",SUMPRODUCT(--ISNUMBER(SEARCH(" "&amp;$CR$2253:$CR$2352&amp;" ",$CJ15)))),"")</f>
        <v>0</v>
      </c>
      <c r="CI15" s="209">
        <f>IF(15=15,IF($U15="","",SUMPRODUCT(--ISNUMBER(SEARCH(" "&amp;$CR$2353:$CR$2395&amp;" ",$CJ15)))),"")</f>
        <v>0</v>
      </c>
      <c r="CJ15" s="209" t="str">
        <f>IF(15=15,IF($U15="","",SUBSTITUTE(SUBSTITUTE(SUBSTITUTE(SUBSTITUTE(SUBSTITUTE(SUBSTITUTE(SUBSTITUTE(SUBSTITUTE(SUBSTITUTE(SUBSTITUTE(SUBSTITUTE(SUBSTITUTE(SUBSTITUTE(SUBSTITUTE(SUBSTITUTE(SUBSTITUTE($AA15,"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liqueur de creme creme de whisky </v>
      </c>
      <c r="CK15" s="209">
        <f>IF(15=15,IF($U15="","",SUMPRODUCT(--ISNUMBER(SEARCH(" "&amp;$CR$2412:$CR$2416&amp;" ",$CJ15)))),"")</f>
        <v>0</v>
      </c>
      <c r="CL15" s="209" t="str">
        <f>IF(15=15,IF($U15="","",IF(SUM(CG15:CI15)&gt;0,"X",IF(CK15&gt;0,"?",""))),"")</f>
        <v/>
      </c>
      <c r="CM15" s="210"/>
      <c r="CN15" s="213" t="s">
        <v>995</v>
      </c>
      <c r="CO15" s="213" t="s">
        <v>878</v>
      </c>
      <c r="CP15" s="213" t="s">
        <v>879</v>
      </c>
      <c r="CQ15" s="213" t="s">
        <v>996</v>
      </c>
      <c r="CR15" s="213" t="s">
        <v>997</v>
      </c>
      <c r="CS15" s="213" t="s">
        <v>881</v>
      </c>
      <c r="CT15" s="213" t="s">
        <v>882</v>
      </c>
      <c r="CU15" s="213" t="s">
        <v>883</v>
      </c>
      <c r="CV15" s="214" t="s">
        <v>884</v>
      </c>
      <c r="CX15" s="212">
        <v>1</v>
      </c>
    </row>
    <row r="16" spans="1:102" ht="21" customHeight="1">
      <c r="A16" s="229">
        <v>10</v>
      </c>
      <c r="B16" s="230" t="s">
        <v>6463</v>
      </c>
      <c r="C16" s="231" t="str">
        <f t="shared" si="0"/>
        <v>Advocaat / liqueur aux œufs *</v>
      </c>
      <c r="D16" s="232" t="str">
        <f>IF(16=16,IF($B16="","",IF(E16="X",""&amp;"Céréales contenant du gluten","")&amp;IF(F16="X",IF(COUNTIF($E16:$E16,"X")&gt;0,", ","")&amp;"Crustacés","")&amp;IF(G16="X",IF(COUNTIF($E16:$F16,"X")&gt;0,", ","")&amp;"Œufs","")&amp;IF(H16="X",IF(COUNTIF($E16:$G16,"X")&gt;0,", ","")&amp;"Poissons","")&amp;IF(I16="X",IF(COUNTIF($E16:$H16,"X")&gt;0,", ","")&amp;"Arachides","")&amp;IF(J16="X",IF(COUNTIF($E16:$I16,"X")&gt;0,", ","")&amp;"Soja","")&amp;IF(K16="X",IF(COUNTIF($E16:$J16,"X")&gt;0,", ","")&amp;"Lait","")&amp;IF(L16="X",IF(COUNTIF($E16:$K16,"X")&gt;0,", ","")&amp;"Fruits à coque","")&amp;IF(M16="X",IF(COUNTIF($E16:$L16,"X")&gt;0,", ","")&amp;"Céleri","")&amp;IF(N16="X",IF(COUNTIF($E16:$M16,"X")&gt;0,", ","")&amp;"Moutarde","")&amp;IF(O16="X",IF(COUNTIF($E16:$N16,"X")&gt;0,", ","")&amp;"Sésame","")&amp;IF(P16="X",IF(COUNTIF($E16:$O16,"X")&gt;0,", ","")&amp;"Sulfites","")&amp;IF(Q16="X",IF(COUNTIF($E16:$P16,"X")&gt;0,", ","")&amp;"Lupin","")&amp;IF(R16="X",IF(COUNTIF($E16:$Q16,"X")&gt;0,", ","")&amp;"Mollusques","")),"")</f>
        <v>Œufs</v>
      </c>
      <c r="E16" s="233" t="str">
        <f>IF(16=16,IF($B16="","",IF(OR(ISNUMBER(SEARCH(" biere sans gluten ",$AA16)),ISNUMBER(SEARCH(" gluten free beer ",$AA16)),ISNUMBER(SEARCH(" beer gluten free ",$AA16))),"",IF(AF16="X","X",IF(OR(AF16="?",OR(ISNUMBER(SEARCH(" worcestershire ",$AA16)),ISNUMBER(SEARCH(" bloody mary ",$AA16)))),"?","")))),"")</f>
        <v/>
      </c>
      <c r="F16" s="233" t="str">
        <f>IF(16=16,IF($B16="","",AI16),"")</f>
        <v/>
      </c>
      <c r="G16" s="233" t="str">
        <f>IF(16=16,IF($B16="","",IF(OR(TRIM($AA16)="puree pate d amande",TRIM($AA16)="pate puree d amande",TRIM($AA16)="puree d amande",TRIM($AA16)="pate d amande",TRIM($AA16)="pate puree de noisette",TRIM($AA16)="puree pate de noisette",TRIM($AA16)="puree de noisette",TRIM($AA16)="pate de noisette"),"",IF(OR(AM16="X",OR(ISNUMBER(SEARCH(" macaron ",$AA16)),ISNUMBER(SEARCH(" egg nog ",$AA16)),ISNUMBER(SEARCH(" eggnog ",$AA16)))),"X",IF(OR(AM16="?",OR(ISNUMBER(SEARCH(" biscuit decoratif ",$AA16)),ISNUMBER(SEARCH(" whisky sour ",$AA16)),ISNUMBER(SEARCH(" whiskey sour ",$AA16)),ISNUMBER(SEARCH(" amaretto sour ",$AA16)),ISNUMBER(SEARCH(" pisco sour ",$AA16)),ISNUMBER(SEARCH(" clover club ",$AA16)),ISNUMBER(SEARCH(" ramos gin fizz ",$AA16)))),"?","")))),"")</f>
        <v>X</v>
      </c>
      <c r="H16" s="233" t="str">
        <f>IF(16=16,IF($B16="","",IF(ISNUMBER(SEARCH(" colin ",$AA16)),"X",IF(AZ16="X","X",IF(OR(AZ16="?",OR(ISNUMBER(SEARCH(" worcestershire ",$AA16)),ISNUMBER(SEARCH(" bloody mary ",$AA16)))),"?","")))),"")</f>
        <v/>
      </c>
      <c r="I16" s="233" t="str">
        <f>IF(16=16,IF($B16="","",BB16),"")</f>
        <v/>
      </c>
      <c r="J16" s="233" t="str">
        <f>IF(16=16,IF($B16="","",BF16),"")</f>
        <v/>
      </c>
      <c r="K16" s="233" t="str">
        <f>IF(16=16,IF($B16="","",IF(OR(OR(TRIM($AA16)="puree pate d amande",TRIM($AA16)="pate puree d amande",TRIM($AA16)="puree d amande",TRIM($AA16)="pate d amande",TRIM($AA16)="pate puree de noisette",TRIM($AA16)="puree pate de noisette",TRIM($AA16)="puree de noisette",TRIM($AA16)="pate de noisette"),OR(TRIM($AA16)="beurre puree d arachide",TRIM($AA16)="beurre d arachide",TRIM($AA16)="puree d arachide"),OR(TRIM($AA16)="tahini puree de sesame",TRIM($AA16)="tahini",TRIM($AA16)="puree de sesame")),"",IF(OR(TRIM($AA16)="creme de cassis",TRIM($AA16)="creme de menthe",TRIM($AA16)="creme de cacao",TRIM($AA16)="creme de mure",TRIM($AA16)="creme de framboise",TRIM($AA16)="creme de peche",TRIM($AA16)="creme de banane",TRIM($AA16)="liqueur creme de coco",TRIM($AA16)="creme de coco",TRIM($AA16)="spiritueux aromatise arrange creme de spiritueux"),"?",IF(OR(BM16="X",OR(ISNUMBER(SEARCH(" baileys ",$AA16)),ISNUMBER(SEARCH(" irish cream ",$AA16)),ISNUMBER(SEARCH(" creme de whisky ",$AA16)))),"X",IF(OR(BM16="?",OR(OR(TRIM($AA16)="creme de cassis",TRIM($AA16)="creme de menthe",TRIM($AA16)="creme de cacao",TRIM($AA16)="creme de mure",TRIM($AA16)="creme de framboise",TRIM($AA16)="creme de peche",TRIM($AA16)="creme de banane",TRIM($AA16)="liqueur creme de coco",TRIM($AA16)="creme de coco",TRIM($AA16)="spiritueux aromatise arrange creme de spiritueux"),ISNUMBER(SEARCH(" advocaat ",$AA16)),ISNUMBER(SEARCH(" liqueur aux oeufs ",$AA16)),ISNUMBER(SEARCH(" liqueur de chocolat ",$AA16)),ISNUMBER(SEARCH(" liqueur de caramel ",$AA16)),ISNUMBER(SEARCH(" sauce nappage chocolat ",$AA16)),ISNUMBER(SEARCH(" biscuit decoratif ",$AA16)),ISNUMBER(SEARCH(" white russian ",$AA16)),ISNUMBER(SEARCH(" grasshopper ",$AA16)),ISNUMBER(SEARCH(" irish coffee ",$AA16)),ISNUMBER(SEARCH(" ramos gin fizz ",$AA16)),ISNUMBER(SEARCH(" egg nog ",$AA16)),ISNUMBER(SEARCH(" eggnog ",$AA16)))),"?",""))))),"")</f>
        <v>?</v>
      </c>
      <c r="L16" s="233" t="str">
        <f>IF(16=16,IF($B16="","",IF(OR(BQ16="X",OR(OR(TRIM($AA16)="puree pate d amande",TRIM($AA16)="pate puree d amande",TRIM($AA16)="puree d amande",TRIM($AA16)="pate d amande",TRIM($AA16)="pate puree de noisette",TRIM($AA16)="puree pate de noisette",TRIM($AA16)="puree de noisette",TRIM($AA16)="pate de noisette"),ISNUMBER(SEARCH(" macaron ",$AA16)),TRIM($AA16)="fruits a coque")),"X",IF(OR(BQ16="?",OR(ISNUMBER(SEARCH(" sirop d orgeat ",$AA16)),ISNUMBER(SEARCH(" orgeat ",$AA16)),ISNUMBER(SEARCH(" amaretto ",$AA16)))),"?",""))),"")</f>
        <v/>
      </c>
      <c r="M16" s="233" t="str">
        <f>IF(16=16,IF($B16="","",IF(OR(OR(TRIM($AA16)="puree pate d amande",TRIM($AA16)="pate puree d amande",TRIM($AA16)="puree d amande",TRIM($AA16)="pate d amande",TRIM($AA16)="pate puree de noisette",TRIM($AA16)="puree pate de noisette",TRIM($AA16)="puree de noisette",TRIM($AA16)="pate de noisette"),OR(TRIM($AA16)="tahini puree de sesame",TRIM($AA16)="tahini",TRIM($AA16)="puree de sesame")),"",IF(BT16="X","X",IF(OR(BT16="?",ISNUMBER(SEARCH(" bloody mary ",$AA16))),"?","")))),"")</f>
        <v/>
      </c>
      <c r="N16" s="233" t="str">
        <f>IF(16=16,IF($B16="","",IF(OR(OR(TRIM($AA16)="puree pate d amande",TRIM($AA16)="pate puree d amande",TRIM($AA16)="puree d amande",TRIM($AA16)="pate d amande",TRIM($AA16)="pate puree de noisette",TRIM($AA16)="puree pate de noisette",TRIM($AA16)="puree de noisette",TRIM($AA16)="pate de noisette"),OR(TRIM($AA16)="tahini puree de sesame",TRIM($AA16)="tahini",TRIM($AA16)="puree de sesame")),"",IF(BW16="X","X",IF(OR(BW16="?",ISNUMBER(SEARCH(" bloody mary ",$AA16))),"?","")))),"")</f>
        <v/>
      </c>
      <c r="O16" s="233" t="str">
        <f>IF(16=16,IF($B16="","",BZ16),"")</f>
        <v/>
      </c>
      <c r="P16" s="233" t="str">
        <f>IF(16=16,IF($B16="","",CC16),"")</f>
        <v/>
      </c>
      <c r="Q16" s="233" t="str">
        <f>IF(16=16,IF($B16="","",CF16),"")</f>
        <v/>
      </c>
      <c r="R16" s="233" t="str">
        <f>IF(16=16,IF($B16="","",IF(TRIM($AA16)="fruits a coque","",IF(CL16="X","X",IF(OR(CL16="?",OR(ISNUMBER(SEARCH(" clamato ",$AA16)),ISNUMBER(SEARCH(" bloody caesar ",$AA16)))),"?","")))),"")</f>
        <v/>
      </c>
      <c r="S16" s="234" t="str">
        <f>IF(16=16,IF($B16="","",IF(E16="?",""&amp;"Céréales contenant du gluten","")&amp;IF(F16="?",IF(COUNTIF($E16:$E16,"~?")&gt;0,", ","")&amp;"Crustacés","")&amp;IF(G16="?",IF(COUNTIF($E16:$F16,"~?")&gt;0,", ","")&amp;"Œufs","")&amp;IF(H16="?",IF(COUNTIF($E16:$G16,"~?")&gt;0,", ","")&amp;"Poissons","")&amp;IF(I16="?",IF(COUNTIF($E16:$H16,"~?")&gt;0,", ","")&amp;"Arachides","")&amp;IF(J16="?",IF(COUNTIF($E16:$I16,"~?")&gt;0,", ","")&amp;"Soja","")&amp;IF(K16="?",IF(COUNTIF($E16:$J16,"~?")&gt;0,", ","")&amp;"Lait","")&amp;IF(L16="?",IF(COUNTIF($E16:$K16,"~?")&gt;0,", ","")&amp;"Fruits à coque","")&amp;IF(M16="?",IF(COUNTIF($E16:$L16,"~?")&gt;0,", ","")&amp;"Céleri","")&amp;IF(N16="?",IF(COUNTIF($E16:$M16,"~?")&gt;0,", ","")&amp;"Moutarde","")&amp;IF(O16="?",IF(COUNTIF($E16:$N16,"~?")&gt;0,", ","")&amp;"Sésame","")&amp;IF(P16="?",IF(COUNTIF($E16:$O16,"~?")&gt;0,", ","")&amp;"Sulfites","")&amp;IF(Q16="?",IF(COUNTIF($E16:$P16,"~?")&gt;0,", ","")&amp;"Lupin","")&amp;IF(R16="?",IF(COUNTIF($E16:$Q16,"~?")&gt;0,", ","")&amp;"Mollusques","")),"")</f>
        <v>Lait</v>
      </c>
      <c r="U16" s="209" t="str">
        <f>IF(16=16,IF($B16="","",$B16),"")</f>
        <v>Advocaat / liqueur aux œufs</v>
      </c>
      <c r="V16" s="209" t="str">
        <f>IF(16=16,LOWER(CLEAN(SUBSTITUTE(SUBSTITUTE(SUBSTITUTE(SUBSTITUTE($U16,CHAR(160)," ")," "," "),CHAR(10)," "),CHAR(13)," "))),"")</f>
        <v>advocaat / liqueur aux œufs</v>
      </c>
      <c r="W16" s="209" t="str">
        <f>IF(16=16,SUBSTITUTE(SUBSTITUTE(SUBSTITUTE(SUBSTITUTE(SUBSTITUTE(SUBSTITUTE(SUBSTITUTE(SUBSTITUTE(SUBSTITUTE(SUBSTITUTE(SUBSTITUTE(SUBSTITUTE($V16,"œ","oe"),"æ","ae"),"à","a"),"á","a"),"â","a"),"ä","a"),"ã","a"),"ç","c"),"è","e"),"é","e"),"ê","e"),"ë","e"),"")</f>
        <v>advocaat / liqueur aux oeufs</v>
      </c>
      <c r="X16" s="209" t="str">
        <f>IF(16=16,SUBSTITUTE(SUBSTITUTE(SUBSTITUTE(SUBSTITUTE(SUBSTITUTE(SUBSTITUTE(SUBSTITUTE(SUBSTITUTE(SUBSTITUTE(SUBSTITUTE(SUBSTITUTE(SUBSTITUTE(SUBSTITUTE(SUBSTITUTE(SUBSTITUTE(SUBSTITUTE($W16,"ì","i"),"í","i"),"î","i"),"ï","i"),"ñ","n"),"ò","o"),"ó","o"),"ô","o"),"ö","o"),"õ","o"),"ù","u"),"ú","u"),"û","u"),"ü","u"),"ý","y"),"ÿ","y"),"")</f>
        <v>advocaat / liqueur aux oeufs</v>
      </c>
      <c r="Y16" s="209" t="str">
        <f>IF(16=16,SUBSTITUTE(SUBSTITUTE(SUBSTITUTE(SUBSTITUTE(SUBSTITUTE(SUBSTITUTE(SUBSTITUTE(SUBSTITUTE(SUBSTITUTE(SUBSTITUTE(SUBSTITUTE(SUBSTITUTE(SUBSTITUTE(SUBSTITUTE($X16,"’"," "),"`"," "),"–"," "),"—"," "),"-"," "),"'"," "),"/"," "),"_"," "),","," "),"."," "),"("," "),")"," "),";"," "),":"," "),"")</f>
        <v>advocaat   liqueur aux oeufs</v>
      </c>
      <c r="Z16" s="209" t="str">
        <f>IF(16=16,SUBSTITUTE(SUBSTITUTE(SUBSTITUTE(SUBSTITUTE(SUBSTITUTE(SUBSTITUTE(SUBSTITUTE(SUBSTITUTE(SUBSTITUTE(SUBSTITUTE(SUBSTITUTE(SUBSTITUTE(SUBSTITUTE(SUBSTITUTE(SUBSTITUTE($Y16,"!"," "),"?"," "),"+"," "),"*"," "),"&amp;"," "),"["," "),"]"," "),"{"," "),"}"," "),"%"," "),"="," "),"\"," "),"|"," "),"&lt;"," "),"&gt;"," "),"")</f>
        <v>advocaat   liqueur aux oeufs</v>
      </c>
      <c r="AA16" s="209" t="str">
        <f>IF(16=16," "&amp;TRIM(SUBSTITUTE(SUBSTITUTE(SUBSTITUTE(SUBSTITUTE(SUBSTITUTE(SUBSTITUTE($Z16,CHAR(34)," "),"  "," "),"  "," "),"  "," "),"  "," "),"  "," "))&amp;" ","")</f>
        <v xml:space="preserve"> advocaat liqueur aux oeufs </v>
      </c>
      <c r="AB16" s="209">
        <f>IF(16=16,IF($U16="","",SUMPRODUCT(--ISNUMBER(SEARCH(" "&amp;$CR$2:$CR$101&amp;" ",$AD16)))),"")</f>
        <v>0</v>
      </c>
      <c r="AC16" s="209">
        <f>IF(16=16,IF($U16="","",SUMPRODUCT(--ISNUMBER(SEARCH(" "&amp;$CR$102:$CR$151&amp;" ",$AD16)))),"")</f>
        <v>0</v>
      </c>
      <c r="AD16" s="209" t="str">
        <f t="shared" si="1"/>
        <v xml:space="preserve"> advocaat liqueur aux oeufs </v>
      </c>
      <c r="AE16" s="209">
        <f t="shared" si="2"/>
        <v>0</v>
      </c>
      <c r="AF16" s="209" t="str">
        <f>IF(16=16,IF($U16="","",IF(SUM(AB16:AC16)+SUMPRODUCT(--ISNUMBER(SEARCH(" "&amp;$CR$2418:$CR$2420&amp;" ",$AD16)))&gt;0,"X",IF(AE16&gt;0,"?",""))),"")</f>
        <v/>
      </c>
      <c r="AG16" s="209">
        <f>IF(16=16,IF($U16="","",SUMPRODUCT(--ISNUMBER(SEARCH(" "&amp;$CR$206:$CR$305&amp;" ",$AA16)))),"")</f>
        <v>0</v>
      </c>
      <c r="AH16" s="209">
        <f>IF(16=16,IF($U16="","",SUMPRODUCT(--ISNUMBER(SEARCH(" "&amp;$CR$306:$CR$340&amp;" ",$AA16)))),"")</f>
        <v>0</v>
      </c>
      <c r="AI16" s="209" t="str">
        <f>IF(16=16,IF($U16="","",IF((SUM(AG16:AH16))-(0)&gt;0,"X",IF((0)-(0)&gt;0,"?",""))),"")</f>
        <v/>
      </c>
      <c r="AJ16" s="209">
        <f>IF(16=16,IF($U16="","",SUMPRODUCT(--ISNUMBER(SEARCH(" "&amp;$CR$341:$CR$398&amp;" ",$AA16)))),"")</f>
        <v>1</v>
      </c>
      <c r="AK16" s="209">
        <f>IF(16=16,IF($U16="","",SUMPRODUCT(--ISNUMBER(SEARCH(" "&amp;$CR$399:$CR$426&amp;" ",$AL16)))+SUMPRODUCT(--ISNUMBER(SEARCH(" "&amp;$CR$2440:$CR$2453&amp;" ",$AL16)))),"")</f>
        <v>0</v>
      </c>
      <c r="AL16" s="209" t="str">
        <f>IF(16=16,IF($U16="","",SUBSTITUTE(SUBSTITUTE(SUBSTITUTE(SUBSTITUTE(SUBSTITUTE(SUBSTITUTE(SUBSTITUTE(SUBSTITUTE(SUBSTITUTE(SUBSTITUTE(SUBSTITUTE(SUBSTITUTE(SUBSTITUTE(SUBSTITUTE($AA16,"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advocaat liqueur aux oeufs </v>
      </c>
      <c r="AM16" s="209" t="str">
        <f>IF(16=16,IF($U16="","",IF(AJ16&gt;0,"X",IF(AK16&gt;0,"?",""))),"")</f>
        <v>X</v>
      </c>
      <c r="AN16" s="209">
        <f>IF(16=16,IF($U16="","",SUMPRODUCT(--ISNUMBER(SEARCH(" "&amp;$CR$436:$CR$535&amp;" ",$AX16)))),"")</f>
        <v>0</v>
      </c>
      <c r="AO16" s="209">
        <f>IF(16=16,IF($U16="","",SUMPRODUCT(--ISNUMBER(SEARCH(" "&amp;$CR$536:$CR$635&amp;" ",$AX16)))),"")</f>
        <v>0</v>
      </c>
      <c r="AP16" s="209">
        <f>IF(16=16,IF($U16="","",SUMPRODUCT(--ISNUMBER(SEARCH(" "&amp;$CR$636:$CR$735&amp;" ",$AX16)))),"")</f>
        <v>0</v>
      </c>
      <c r="AQ16" s="209">
        <f>IF(16=16,IF($U16="","",SUMPRODUCT(--ISNUMBER(SEARCH(" "&amp;$CR$736:$CR$835&amp;" ",$AX16)))),"")</f>
        <v>0</v>
      </c>
      <c r="AR16" s="209">
        <f>IF(16=16,IF($U16="","",SUMPRODUCT(--ISNUMBER(SEARCH(" "&amp;$CR$836:$CR$935&amp;" ",$AX16)))),"")</f>
        <v>0</v>
      </c>
      <c r="AS16" s="209">
        <f>IF(16=16,IF($U16="","",SUMPRODUCT(--ISNUMBER(SEARCH(" "&amp;$CR$936:$CR$1035&amp;" ",$AX16)))),"")</f>
        <v>0</v>
      </c>
      <c r="AT16" s="209">
        <f>IF(16=16,IF($U16="","",SUMPRODUCT(--ISNUMBER(SEARCH(" "&amp;$CR$1036:$CR$1135&amp;" ",$AX16)))),"")</f>
        <v>0</v>
      </c>
      <c r="AU16" s="209">
        <f>IF(16=16,IF($U16="","",SUMPRODUCT(--ISNUMBER(SEARCH(" "&amp;$CR$1136:$CR$1235&amp;" ",$AX16)))),"")</f>
        <v>0</v>
      </c>
      <c r="AV16" s="209">
        <f>IF(16=16,IF($U16="","",SUMPRODUCT(--ISNUMBER(SEARCH(" "&amp;$CR$1236:$CR$1335&amp;" ",$AX16)))),"")</f>
        <v>0</v>
      </c>
      <c r="AW16" s="209">
        <f>IF(16=16,IF($U16="","",SUMPRODUCT(--ISNUMBER(SEARCH(" "&amp;$CR$1336:$CR$1363&amp;" ",$AX16)))),"")</f>
        <v>0</v>
      </c>
      <c r="AX16" s="209" t="str">
        <f>IF(16=16,IF($U16="","",SUBSTITUTE(SUBSTITUTE(SUBSTITUTE(SUBSTITUTE(SUBSTITUTE(SUBSTITUTE(SUBSTITUTE(SUBSTITUTE(SUBSTITUTE($AA16,"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advocaat liqueur aux oeufs </v>
      </c>
      <c r="AY16" s="209">
        <f>IF(16=16,IF($U16="","",SUMPRODUCT(--ISNUMBER(SEARCH(" "&amp;$CR$1373:$CR$1383&amp;" ",$AX16)))),"")</f>
        <v>0</v>
      </c>
      <c r="AZ16" s="209" t="str">
        <f>IF(16=16,IF($U16="","",IF(SUM(AN16:AW16)+SUMPRODUCT(--ISNUMBER(SEARCH(" "&amp;$CR$2421:$CR$2422&amp;" ",$AX16)))&gt;0,"X",IF(AY16&gt;0,"?",""))),"")</f>
        <v/>
      </c>
      <c r="BA16" s="209">
        <f>IF(16=16,IF($U16="","",SUMPRODUCT(--ISNUMBER(SEARCH(" "&amp;$CR$1384:$CR$1404&amp;" ",$AA16)))),"")</f>
        <v>0</v>
      </c>
      <c r="BB16" s="209" t="str">
        <f>IF(16=16,IF($U16="","",IF((BA16)-(0)&gt;0,"X",IF((0)-(0)&gt;0,"?",""))),"")</f>
        <v/>
      </c>
      <c r="BC16" s="209">
        <f>IF(16=16,IF($U16="","",SUMPRODUCT(--ISNUMBER(SEARCH(" "&amp;$CR$1405:$CR$1442&amp;" ",$BD16)))),"")</f>
        <v>0</v>
      </c>
      <c r="BD16" s="209" t="str">
        <f>IF(16=16,IF($U16="","",SUBSTITUTE(SUBSTITUTE($AA16," "&amp;$CR$1443&amp;" "," ")," "&amp;$CR$1444&amp;" "," ")),"")</f>
        <v xml:space="preserve"> advocaat liqueur aux oeufs </v>
      </c>
      <c r="BE16" s="209">
        <f>IF(16=16,IF($U16="","",SUMPRODUCT(--ISNUMBER(SEARCH(" "&amp;$CR$1445:$CR$1455&amp;" ",$BD16)))),"")</f>
        <v>0</v>
      </c>
      <c r="BF16" s="209" t="str">
        <f>IF(16=16,IF($U16="","",IF(BC16&gt;0,"X",IF(BE16&gt;0,"?",""))),"")</f>
        <v/>
      </c>
      <c r="BG16" s="209">
        <f>IF(16=16,IF($U16="","",SUMPRODUCT(--ISNUMBER(SEARCH(" "&amp;$CR$1456:$CR$1555&amp;" ",$BJ16)))),"")</f>
        <v>0</v>
      </c>
      <c r="BH16" s="209">
        <f>IF(16=16,IF($U16="","",SUMPRODUCT(--ISNUMBER(SEARCH(" "&amp;$CR$1556:$CR$1655&amp;" ",$BJ16)))),"")</f>
        <v>0</v>
      </c>
      <c r="BI16" s="209">
        <f>IF(16=16,IF($U16="","",SUMPRODUCT(--ISNUMBER(SEARCH(" "&amp;$CR$1656:$CR$1739&amp;" ",$BJ16)))),"")</f>
        <v>0</v>
      </c>
      <c r="BJ16" s="209" t="str">
        <f>IF(16=16,IF($U16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16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advocaat liqueur aux oeufs </v>
      </c>
      <c r="BK16" s="209">
        <f>IF(16=16,IF($U16="","",SUMPRODUCT(--ISNUMBER(SEARCH(" "&amp;$CR$1790:$CR$1869&amp;" ",$BL16)))+SUMPRODUCT(--ISNUMBER(SEARCH(" "&amp;$CR$2440:$CR$2453&amp;" ",$BL16)))),"")</f>
        <v>0</v>
      </c>
      <c r="BL16" s="209" t="str">
        <f>IF(16=16,IF($U16="","",SUBSTITUTE(SUBSTITUTE(SUBSTITUTE(SUBSTITUTE(SUBSTITUTE(SUBSTITUTE(SUBSTITUTE(SUBSTITUTE(SUBSTITUTE(SUBSTITUTE(SUBSTITUTE(SUBSTITUTE(SUBSTITUTE($BJ16,"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advocaat liqueur aux oeufs </v>
      </c>
      <c r="BM16" s="209" t="str">
        <f>IF(16=16,IF($U16="","",IF(SUM(BG16:BI16)+SUMPRODUCT(--ISNUMBER(SEARCH(" "&amp;$CR$2423:$CR$2424&amp;" ",$BJ16)))&gt;0,"X",IF(BK16&gt;0,"?",""))),"")</f>
        <v/>
      </c>
      <c r="BN16" s="209">
        <f>IF(16=16,IF($U16="","",SUMPRODUCT(--ISNUMBER(SEARCH(" "&amp;$CR$1879:$CR$1936&amp;" ",$BO16)))),"")</f>
        <v>0</v>
      </c>
      <c r="BO16" s="209" t="str">
        <f>IF(16=16,IF($U16="","",SUBSTITUTE(SUBSTITUTE(SUBSTITUTE(SUBSTITUTE(SUBSTITUTE(SUBSTITUTE(SUBSTITUTE(SUBSTITUTE(SUBSTITUTE(SUBSTITUTE(SUBSTITUTE(SUBSTITUTE(SUBSTITUTE(SUBSTITUTE(SUBSTITUTE(SUBSTITUTE(SUBSTITUTE(SUBSTITUTE(SUBSTITUTE(SUBSTITUTE(SUBSTITUTE(SUBSTITUTE(SUBSTITUTE($AA16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advocaat liqueur aux oeufs </v>
      </c>
      <c r="BP16" s="209">
        <f>IF(16=16,IF($U16="","",SUMPRODUCT(--ISNUMBER(SEARCH(" "&amp;$CR$1960:$CR$1976&amp;" ",$BO16)))),"")</f>
        <v>0</v>
      </c>
      <c r="BQ16" s="209" t="str">
        <f>IF(16=16,IF($U16="","",IF(BN16&gt;0,"X",IF(BP16&gt;0,"?",""))),"")</f>
        <v/>
      </c>
      <c r="BR16" s="209">
        <f>IF(16=16,IF($U16="","",SUMPRODUCT(--ISNUMBER(SEARCH(" "&amp;$CR$1977:$CR$1990&amp;" ",$AA16)))),"")</f>
        <v>0</v>
      </c>
      <c r="BS16" s="209">
        <f>IF(16=16,IF($U16="","",SUMPRODUCT(--ISNUMBER(SEARCH(" "&amp;$CR$1991:$CR$2005&amp;" ",$AA16)))),"")</f>
        <v>0</v>
      </c>
      <c r="BT16" s="209" t="str">
        <f>IF(16=16,IF($U16="","",IF((BR16)-(0)&gt;0,"X",IF((BS16)-(0)&gt;0,"?",""))),"")</f>
        <v/>
      </c>
      <c r="BU16" s="209">
        <f>IF(16=16,IF($U16="","",SUMPRODUCT(--ISNUMBER(SEARCH(" "&amp;$CR$2006:$CR$2023&amp;" ",$AA16)))),"")</f>
        <v>0</v>
      </c>
      <c r="BV16" s="209">
        <f>IF(16=16,IF($U16="","",SUMPRODUCT(--ISNUMBER(SEARCH(" "&amp;$CR$2024:$CR$2038&amp;" ",$AA16)))),"")</f>
        <v>0</v>
      </c>
      <c r="BW16" s="209" t="str">
        <f>IF(16=16,IF($U16="","",IF((BU16)-(0)&gt;0,"X",IF((BV16)-(0)&gt;0,"?",""))),"")</f>
        <v/>
      </c>
      <c r="BX16" s="209">
        <f>IF(16=16,IF($U16="","",SUMPRODUCT(--ISNUMBER(SEARCH(" "&amp;$CR$2039:$CR$2057&amp;" ",$AA16)))),"")</f>
        <v>0</v>
      </c>
      <c r="BY16" s="209">
        <f>IF(16=16,IF($U16="","",SUMPRODUCT(--ISNUMBER(SEARCH(" "&amp;$CR$2058:$CR$2072&amp;" ",$AA16)))),"")</f>
        <v>0</v>
      </c>
      <c r="BZ16" s="209" t="str">
        <f>IF(16=16,IF($U16="","",IF((BX16)-(0)&gt;0,"X",IF((BY16)-(0)&gt;0,"?",""))),"")</f>
        <v/>
      </c>
      <c r="CA16" s="209">
        <f>IF(16=16,IF($U16="","",SUMPRODUCT(--ISNUMBER(SEARCH(" "&amp;$CR$2073:$CR$2093&amp;" ",$AA16)))),"")</f>
        <v>0</v>
      </c>
      <c r="CB16" s="209">
        <f>IF(16=16,IF($U16="","",SUMPRODUCT(--ISNUMBER(SEARCH(" "&amp;$CR$2094:$CR$2133&amp;" ",SUBSTITUTE(SUBSTITUTE($AA16," "&amp;$CR$1367&amp;" "," ")," "&amp;$CR$1366&amp;" "," "))))+--ISNUMBER(SEARCH("poiré",$V16))),"")</f>
        <v>0</v>
      </c>
      <c r="CC16" s="209" t="str">
        <f>IF(16=16,IF($U16="","",IF(OR(CA16&gt;0,ISNUMBER(SEARCH(" vinaigre de vin ",$AA16)),ISNUMBER(SEARCH(" vinaigre au vin ",$AA16))),"X",IF(CB16&gt;0,"?",""))),"")</f>
        <v/>
      </c>
      <c r="CD16" s="209">
        <f>IF(16=16,IF($U16="","",SUMPRODUCT(--ISNUMBER(SEARCH(" "&amp;$CR$2134:$CR$2146&amp;" ",$AA16)))),"")</f>
        <v>0</v>
      </c>
      <c r="CE16" s="209">
        <f>IF(16=16,IF($U16="","",SUMPRODUCT(--ISNUMBER(SEARCH(" "&amp;$CR$2147:$CR$2152&amp;" ",$AA16)))),"")</f>
        <v>0</v>
      </c>
      <c r="CF16" s="209" t="str">
        <f>IF(16=16,IF($U16="","",IF((CD16)-(0)&gt;0,"X",IF((CE16)-(0)&gt;0,"?",""))),"")</f>
        <v/>
      </c>
      <c r="CG16" s="209">
        <f>IF(16=16,IF($U16="","",SUMPRODUCT(--ISNUMBER(SEARCH(" "&amp;$CR$2153:$CR$2252&amp;" ",$CJ16)))),"")</f>
        <v>0</v>
      </c>
      <c r="CH16" s="209">
        <f>IF(16=16,IF($U16="","",SUMPRODUCT(--ISNUMBER(SEARCH(" "&amp;$CR$2253:$CR$2352&amp;" ",$CJ16)))),"")</f>
        <v>0</v>
      </c>
      <c r="CI16" s="209">
        <f>IF(16=16,IF($U16="","",SUMPRODUCT(--ISNUMBER(SEARCH(" "&amp;$CR$2353:$CR$2395&amp;" ",$CJ16)))),"")</f>
        <v>0</v>
      </c>
      <c r="CJ16" s="209" t="str">
        <f>IF(16=16,IF($U16="","",SUBSTITUTE(SUBSTITUTE(SUBSTITUTE(SUBSTITUTE(SUBSTITUTE(SUBSTITUTE(SUBSTITUTE(SUBSTITUTE(SUBSTITUTE(SUBSTITUTE(SUBSTITUTE(SUBSTITUTE(SUBSTITUTE(SUBSTITUTE(SUBSTITUTE(SUBSTITUTE($AA16,"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advocaat liqueur aux oeufs </v>
      </c>
      <c r="CK16" s="209">
        <f>IF(16=16,IF($U16="","",SUMPRODUCT(--ISNUMBER(SEARCH(" "&amp;$CR$2412:$CR$2416&amp;" ",$CJ16)))),"")</f>
        <v>0</v>
      </c>
      <c r="CL16" s="209" t="str">
        <f>IF(16=16,IF($U16="","",IF(SUM(CG16:CI16)&gt;0,"X",IF(CK16&gt;0,"?",""))),"")</f>
        <v/>
      </c>
      <c r="CM16" s="210"/>
      <c r="CN16" s="213" t="s">
        <v>998</v>
      </c>
      <c r="CO16" s="213" t="s">
        <v>878</v>
      </c>
      <c r="CP16" s="213" t="s">
        <v>879</v>
      </c>
      <c r="CQ16" s="213" t="s">
        <v>999</v>
      </c>
      <c r="CR16" s="213" t="s">
        <v>999</v>
      </c>
      <c r="CS16" s="213" t="s">
        <v>881</v>
      </c>
      <c r="CT16" s="213" t="s">
        <v>882</v>
      </c>
      <c r="CU16" s="213" t="s">
        <v>883</v>
      </c>
      <c r="CV16" s="214" t="s">
        <v>884</v>
      </c>
      <c r="CX16" s="212">
        <v>1</v>
      </c>
    </row>
    <row r="17" spans="1:102" ht="21" customHeight="1">
      <c r="A17" s="229">
        <v>11</v>
      </c>
      <c r="B17" s="230" t="s">
        <v>6470</v>
      </c>
      <c r="C17" s="231" t="str">
        <f t="shared" si="0"/>
        <v>Boisson aux amandes *</v>
      </c>
      <c r="D17" s="232" t="str">
        <f>IF(17=17,IF($B17="","",IF(E17="X",""&amp;"Céréales contenant du gluten","")&amp;IF(F17="X",IF(COUNTIF($E17:$E17,"X")&gt;0,", ","")&amp;"Crustacés","")&amp;IF(G17="X",IF(COUNTIF($E17:$F17,"X")&gt;0,", ","")&amp;"Œufs","")&amp;IF(H17="X",IF(COUNTIF($E17:$G17,"X")&gt;0,", ","")&amp;"Poissons","")&amp;IF(I17="X",IF(COUNTIF($E17:$H17,"X")&gt;0,", ","")&amp;"Arachides","")&amp;IF(J17="X",IF(COUNTIF($E17:$I17,"X")&gt;0,", ","")&amp;"Soja","")&amp;IF(K17="X",IF(COUNTIF($E17:$J17,"X")&gt;0,", ","")&amp;"Lait","")&amp;IF(L17="X",IF(COUNTIF($E17:$K17,"X")&gt;0,", ","")&amp;"Fruits à coque","")&amp;IF(M17="X",IF(COUNTIF($E17:$L17,"X")&gt;0,", ","")&amp;"Céleri","")&amp;IF(N17="X",IF(COUNTIF($E17:$M17,"X")&gt;0,", ","")&amp;"Moutarde","")&amp;IF(O17="X",IF(COUNTIF($E17:$N17,"X")&gt;0,", ","")&amp;"Sésame","")&amp;IF(P17="X",IF(COUNTIF($E17:$O17,"X")&gt;0,", ","")&amp;"Sulfites","")&amp;IF(Q17="X",IF(COUNTIF($E17:$P17,"X")&gt;0,", ","")&amp;"Lupin","")&amp;IF(R17="X",IF(COUNTIF($E17:$Q17,"X")&gt;0,", ","")&amp;"Mollusques","")),"")</f>
        <v>Fruits à coque</v>
      </c>
      <c r="E17" s="233" t="str">
        <f>IF(17=17,IF($B17="","",IF(OR(ISNUMBER(SEARCH(" biere sans gluten ",$AA17)),ISNUMBER(SEARCH(" gluten free beer ",$AA17)),ISNUMBER(SEARCH(" beer gluten free ",$AA17))),"",IF(AF17="X","X",IF(OR(AF17="?",OR(ISNUMBER(SEARCH(" worcestershire ",$AA17)),ISNUMBER(SEARCH(" bloody mary ",$AA17)))),"?","")))),"")</f>
        <v/>
      </c>
      <c r="F17" s="233" t="str">
        <f>IF(17=17,IF($B17="","",AI17),"")</f>
        <v/>
      </c>
      <c r="G17" s="233" t="str">
        <f>IF(17=17,IF($B17="","",IF(OR(TRIM($AA17)="puree pate d amande",TRIM($AA17)="pate puree d amande",TRIM($AA17)="puree d amande",TRIM($AA17)="pate d amande",TRIM($AA17)="pate puree de noisette",TRIM($AA17)="puree pate de noisette",TRIM($AA17)="puree de noisette",TRIM($AA17)="pate de noisette"),"",IF(OR(AM17="X",OR(ISNUMBER(SEARCH(" macaron ",$AA17)),ISNUMBER(SEARCH(" egg nog ",$AA17)),ISNUMBER(SEARCH(" eggnog ",$AA17)))),"X",IF(OR(AM17="?",OR(ISNUMBER(SEARCH(" biscuit decoratif ",$AA17)),ISNUMBER(SEARCH(" whisky sour ",$AA17)),ISNUMBER(SEARCH(" whiskey sour ",$AA17)),ISNUMBER(SEARCH(" amaretto sour ",$AA17)),ISNUMBER(SEARCH(" pisco sour ",$AA17)),ISNUMBER(SEARCH(" clover club ",$AA17)),ISNUMBER(SEARCH(" ramos gin fizz ",$AA17)))),"?","")))),"")</f>
        <v/>
      </c>
      <c r="H17" s="233" t="str">
        <f>IF(17=17,IF($B17="","",IF(ISNUMBER(SEARCH(" colin ",$AA17)),"X",IF(AZ17="X","X",IF(OR(AZ17="?",OR(ISNUMBER(SEARCH(" worcestershire ",$AA17)),ISNUMBER(SEARCH(" bloody mary ",$AA17)))),"?","")))),"")</f>
        <v/>
      </c>
      <c r="I17" s="233" t="str">
        <f>IF(17=17,IF($B17="","",BB17),"")</f>
        <v/>
      </c>
      <c r="J17" s="233" t="str">
        <f>IF(17=17,IF($B17="","",BF17),"")</f>
        <v/>
      </c>
      <c r="K17" s="233" t="str">
        <f>IF(17=17,IF($B17="","",IF(OR(OR(TRIM($AA17)="puree pate d amande",TRIM($AA17)="pate puree d amande",TRIM($AA17)="puree d amande",TRIM($AA17)="pate d amande",TRIM($AA17)="pate puree de noisette",TRIM($AA17)="puree pate de noisette",TRIM($AA17)="puree de noisette",TRIM($AA17)="pate de noisette"),OR(TRIM($AA17)="beurre puree d arachide",TRIM($AA17)="beurre d arachide",TRIM($AA17)="puree d arachide"),OR(TRIM($AA17)="tahini puree de sesame",TRIM($AA17)="tahini",TRIM($AA17)="puree de sesame")),"",IF(OR(TRIM($AA17)="creme de cassis",TRIM($AA17)="creme de menthe",TRIM($AA17)="creme de cacao",TRIM($AA17)="creme de mure",TRIM($AA17)="creme de framboise",TRIM($AA17)="creme de peche",TRIM($AA17)="creme de banane",TRIM($AA17)="liqueur creme de coco",TRIM($AA17)="creme de coco",TRIM($AA17)="spiritueux aromatise arrange creme de spiritueux"),"?",IF(OR(BM17="X",OR(ISNUMBER(SEARCH(" baileys ",$AA17)),ISNUMBER(SEARCH(" irish cream ",$AA17)),ISNUMBER(SEARCH(" creme de whisky ",$AA17)))),"X",IF(OR(BM17="?",OR(OR(TRIM($AA17)="creme de cassis",TRIM($AA17)="creme de menthe",TRIM($AA17)="creme de cacao",TRIM($AA17)="creme de mure",TRIM($AA17)="creme de framboise",TRIM($AA17)="creme de peche",TRIM($AA17)="creme de banane",TRIM($AA17)="liqueur creme de coco",TRIM($AA17)="creme de coco",TRIM($AA17)="spiritueux aromatise arrange creme de spiritueux"),ISNUMBER(SEARCH(" advocaat ",$AA17)),ISNUMBER(SEARCH(" liqueur aux oeufs ",$AA17)),ISNUMBER(SEARCH(" liqueur de chocolat ",$AA17)),ISNUMBER(SEARCH(" liqueur de caramel ",$AA17)),ISNUMBER(SEARCH(" sauce nappage chocolat ",$AA17)),ISNUMBER(SEARCH(" biscuit decoratif ",$AA17)),ISNUMBER(SEARCH(" white russian ",$AA17)),ISNUMBER(SEARCH(" grasshopper ",$AA17)),ISNUMBER(SEARCH(" irish coffee ",$AA17)),ISNUMBER(SEARCH(" ramos gin fizz ",$AA17)),ISNUMBER(SEARCH(" egg nog ",$AA17)),ISNUMBER(SEARCH(" eggnog ",$AA17)))),"?",""))))),"")</f>
        <v/>
      </c>
      <c r="L17" s="233" t="str">
        <f>IF(17=17,IF($B17="","",IF(OR(BQ17="X",OR(OR(TRIM($AA17)="puree pate d amande",TRIM($AA17)="pate puree d amande",TRIM($AA17)="puree d amande",TRIM($AA17)="pate d amande",TRIM($AA17)="pate puree de noisette",TRIM($AA17)="puree pate de noisette",TRIM($AA17)="puree de noisette",TRIM($AA17)="pate de noisette"),ISNUMBER(SEARCH(" macaron ",$AA17)),TRIM($AA17)="fruits a coque")),"X",IF(OR(BQ17="?",OR(ISNUMBER(SEARCH(" sirop d orgeat ",$AA17)),ISNUMBER(SEARCH(" orgeat ",$AA17)),ISNUMBER(SEARCH(" amaretto ",$AA17)))),"?",""))),"")</f>
        <v>X</v>
      </c>
      <c r="M17" s="233" t="str">
        <f>IF(17=17,IF($B17="","",IF(OR(OR(TRIM($AA17)="puree pate d amande",TRIM($AA17)="pate puree d amande",TRIM($AA17)="puree d amande",TRIM($AA17)="pate d amande",TRIM($AA17)="pate puree de noisette",TRIM($AA17)="puree pate de noisette",TRIM($AA17)="puree de noisette",TRIM($AA17)="pate de noisette"),OR(TRIM($AA17)="tahini puree de sesame",TRIM($AA17)="tahini",TRIM($AA17)="puree de sesame")),"",IF(BT17="X","X",IF(OR(BT17="?",ISNUMBER(SEARCH(" bloody mary ",$AA17))),"?","")))),"")</f>
        <v/>
      </c>
      <c r="N17" s="233" t="str">
        <f>IF(17=17,IF($B17="","",IF(OR(OR(TRIM($AA17)="puree pate d amande",TRIM($AA17)="pate puree d amande",TRIM($AA17)="puree d amande",TRIM($AA17)="pate d amande",TRIM($AA17)="pate puree de noisette",TRIM($AA17)="puree pate de noisette",TRIM($AA17)="puree de noisette",TRIM($AA17)="pate de noisette"),OR(TRIM($AA17)="tahini puree de sesame",TRIM($AA17)="tahini",TRIM($AA17)="puree de sesame")),"",IF(BW17="X","X",IF(OR(BW17="?",ISNUMBER(SEARCH(" bloody mary ",$AA17))),"?","")))),"")</f>
        <v/>
      </c>
      <c r="O17" s="233" t="str">
        <f>IF(17=17,IF($B17="","",BZ17),"")</f>
        <v/>
      </c>
      <c r="P17" s="233" t="str">
        <f>IF(17=17,IF($B17="","",CC17),"")</f>
        <v/>
      </c>
      <c r="Q17" s="233" t="str">
        <f>IF(17=17,IF($B17="","",CF17),"")</f>
        <v/>
      </c>
      <c r="R17" s="233" t="str">
        <f>IF(17=17,IF($B17="","",IF(TRIM($AA17)="fruits a coque","",IF(CL17="X","X",IF(OR(CL17="?",OR(ISNUMBER(SEARCH(" clamato ",$AA17)),ISNUMBER(SEARCH(" bloody caesar ",$AA17)))),"?","")))),"")</f>
        <v/>
      </c>
      <c r="S17" s="234" t="str">
        <f>IF(17=17,IF($B17="","",IF(E17="?",""&amp;"Céréales contenant du gluten","")&amp;IF(F17="?",IF(COUNTIF($E17:$E17,"~?")&gt;0,", ","")&amp;"Crustacés","")&amp;IF(G17="?",IF(COUNTIF($E17:$F17,"~?")&gt;0,", ","")&amp;"Œufs","")&amp;IF(H17="?",IF(COUNTIF($E17:$G17,"~?")&gt;0,", ","")&amp;"Poissons","")&amp;IF(I17="?",IF(COUNTIF($E17:$H17,"~?")&gt;0,", ","")&amp;"Arachides","")&amp;IF(J17="?",IF(COUNTIF($E17:$I17,"~?")&gt;0,", ","")&amp;"Soja","")&amp;IF(K17="?",IF(COUNTIF($E17:$J17,"~?")&gt;0,", ","")&amp;"Lait","")&amp;IF(L17="?",IF(COUNTIF($E17:$K17,"~?")&gt;0,", ","")&amp;"Fruits à coque","")&amp;IF(M17="?",IF(COUNTIF($E17:$L17,"~?")&gt;0,", ","")&amp;"Céleri","")&amp;IF(N17="?",IF(COUNTIF($E17:$M17,"~?")&gt;0,", ","")&amp;"Moutarde","")&amp;IF(O17="?",IF(COUNTIF($E17:$N17,"~?")&gt;0,", ","")&amp;"Sésame","")&amp;IF(P17="?",IF(COUNTIF($E17:$O17,"~?")&gt;0,", ","")&amp;"Sulfites","")&amp;IF(Q17="?",IF(COUNTIF($E17:$P17,"~?")&gt;0,", ","")&amp;"Lupin","")&amp;IF(R17="?",IF(COUNTIF($E17:$Q17,"~?")&gt;0,", ","")&amp;"Mollusques","")),"")</f>
        <v/>
      </c>
      <c r="U17" s="209" t="str">
        <f>IF(17=17,IF($B17="","",$B17),"")</f>
        <v>Boisson aux amandes</v>
      </c>
      <c r="V17" s="209" t="str">
        <f>IF(17=17,LOWER(CLEAN(SUBSTITUTE(SUBSTITUTE(SUBSTITUTE(SUBSTITUTE($U17,CHAR(160)," ")," "," "),CHAR(10)," "),CHAR(13)," "))),"")</f>
        <v>boisson aux amandes</v>
      </c>
      <c r="W17" s="209" t="str">
        <f>IF(17=17,SUBSTITUTE(SUBSTITUTE(SUBSTITUTE(SUBSTITUTE(SUBSTITUTE(SUBSTITUTE(SUBSTITUTE(SUBSTITUTE(SUBSTITUTE(SUBSTITUTE(SUBSTITUTE(SUBSTITUTE($V17,"œ","oe"),"æ","ae"),"à","a"),"á","a"),"â","a"),"ä","a"),"ã","a"),"ç","c"),"è","e"),"é","e"),"ê","e"),"ë","e"),"")</f>
        <v>boisson aux amandes</v>
      </c>
      <c r="X17" s="209" t="str">
        <f>IF(17=17,SUBSTITUTE(SUBSTITUTE(SUBSTITUTE(SUBSTITUTE(SUBSTITUTE(SUBSTITUTE(SUBSTITUTE(SUBSTITUTE(SUBSTITUTE(SUBSTITUTE(SUBSTITUTE(SUBSTITUTE(SUBSTITUTE(SUBSTITUTE(SUBSTITUTE(SUBSTITUTE($W17,"ì","i"),"í","i"),"î","i"),"ï","i"),"ñ","n"),"ò","o"),"ó","o"),"ô","o"),"ö","o"),"õ","o"),"ù","u"),"ú","u"),"û","u"),"ü","u"),"ý","y"),"ÿ","y"),"")</f>
        <v>boisson aux amandes</v>
      </c>
      <c r="Y17" s="209" t="str">
        <f>IF(17=17,SUBSTITUTE(SUBSTITUTE(SUBSTITUTE(SUBSTITUTE(SUBSTITUTE(SUBSTITUTE(SUBSTITUTE(SUBSTITUTE(SUBSTITUTE(SUBSTITUTE(SUBSTITUTE(SUBSTITUTE(SUBSTITUTE(SUBSTITUTE($X17,"’"," "),"`"," "),"–"," "),"—"," "),"-"," "),"'"," "),"/"," "),"_"," "),","," "),"."," "),"("," "),")"," "),";"," "),":"," "),"")</f>
        <v>boisson aux amandes</v>
      </c>
      <c r="Z17" s="209" t="str">
        <f>IF(17=17,SUBSTITUTE(SUBSTITUTE(SUBSTITUTE(SUBSTITUTE(SUBSTITUTE(SUBSTITUTE(SUBSTITUTE(SUBSTITUTE(SUBSTITUTE(SUBSTITUTE(SUBSTITUTE(SUBSTITUTE(SUBSTITUTE(SUBSTITUTE(SUBSTITUTE($Y17,"!"," "),"?"," "),"+"," "),"*"," "),"&amp;"," "),"["," "),"]"," "),"{"," "),"}"," "),"%"," "),"="," "),"\"," "),"|"," "),"&lt;"," "),"&gt;"," "),"")</f>
        <v>boisson aux amandes</v>
      </c>
      <c r="AA17" s="209" t="str">
        <f>IF(17=17," "&amp;TRIM(SUBSTITUTE(SUBSTITUTE(SUBSTITUTE(SUBSTITUTE(SUBSTITUTE(SUBSTITUTE($Z17,CHAR(34)," "),"  "," "),"  "," "),"  "," "),"  "," "),"  "," "))&amp;" ","")</f>
        <v xml:space="preserve"> boisson aux amandes </v>
      </c>
      <c r="AB17" s="209">
        <f>IF(17=17,IF($U17="","",SUMPRODUCT(--ISNUMBER(SEARCH(" "&amp;$CR$2:$CR$101&amp;" ",$AD17)))),"")</f>
        <v>0</v>
      </c>
      <c r="AC17" s="209">
        <f>IF(17=17,IF($U17="","",SUMPRODUCT(--ISNUMBER(SEARCH(" "&amp;$CR$102:$CR$151&amp;" ",$AD17)))),"")</f>
        <v>0</v>
      </c>
      <c r="AD17" s="209" t="str">
        <f t="shared" si="1"/>
        <v xml:space="preserve"> boisson aux amandes </v>
      </c>
      <c r="AE17" s="209">
        <f t="shared" si="2"/>
        <v>0</v>
      </c>
      <c r="AF17" s="209" t="str">
        <f>IF(17=17,IF($U17="","",IF(SUM(AB17:AC17)+SUMPRODUCT(--ISNUMBER(SEARCH(" "&amp;$CR$2418:$CR$2420&amp;" ",$AD17)))&gt;0,"X",IF(AE17&gt;0,"?",""))),"")</f>
        <v/>
      </c>
      <c r="AG17" s="209">
        <f>IF(17=17,IF($U17="","",SUMPRODUCT(--ISNUMBER(SEARCH(" "&amp;$CR$206:$CR$305&amp;" ",$AA17)))),"")</f>
        <v>0</v>
      </c>
      <c r="AH17" s="209">
        <f>IF(17=17,IF($U17="","",SUMPRODUCT(--ISNUMBER(SEARCH(" "&amp;$CR$306:$CR$340&amp;" ",$AA17)))),"")</f>
        <v>0</v>
      </c>
      <c r="AI17" s="209" t="str">
        <f>IF(17=17,IF($U17="","",IF((SUM(AG17:AH17))-(0)&gt;0,"X",IF((0)-(0)&gt;0,"?",""))),"")</f>
        <v/>
      </c>
      <c r="AJ17" s="209">
        <f>IF(17=17,IF($U17="","",SUMPRODUCT(--ISNUMBER(SEARCH(" "&amp;$CR$341:$CR$398&amp;" ",$AA17)))),"")</f>
        <v>0</v>
      </c>
      <c r="AK17" s="209">
        <f>IF(17=17,IF($U17="","",SUMPRODUCT(--ISNUMBER(SEARCH(" "&amp;$CR$399:$CR$426&amp;" ",$AL17)))+SUMPRODUCT(--ISNUMBER(SEARCH(" "&amp;$CR$2440:$CR$2453&amp;" ",$AL17)))),"")</f>
        <v>0</v>
      </c>
      <c r="AL17" s="209" t="str">
        <f>IF(17=17,IF($U17="","",SUBSTITUTE(SUBSTITUTE(SUBSTITUTE(SUBSTITUTE(SUBSTITUTE(SUBSTITUTE(SUBSTITUTE(SUBSTITUTE(SUBSTITUTE(SUBSTITUTE(SUBSTITUTE(SUBSTITUTE(SUBSTITUTE(SUBSTITUTE($AA17,"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boisson aux amandes </v>
      </c>
      <c r="AM17" s="209" t="str">
        <f>IF(17=17,IF($U17="","",IF(AJ17&gt;0,"X",IF(AK17&gt;0,"?",""))),"")</f>
        <v/>
      </c>
      <c r="AN17" s="209">
        <f>IF(17=17,IF($U17="","",SUMPRODUCT(--ISNUMBER(SEARCH(" "&amp;$CR$436:$CR$535&amp;" ",$AX17)))),"")</f>
        <v>0</v>
      </c>
      <c r="AO17" s="209">
        <f>IF(17=17,IF($U17="","",SUMPRODUCT(--ISNUMBER(SEARCH(" "&amp;$CR$536:$CR$635&amp;" ",$AX17)))),"")</f>
        <v>0</v>
      </c>
      <c r="AP17" s="209">
        <f>IF(17=17,IF($U17="","",SUMPRODUCT(--ISNUMBER(SEARCH(" "&amp;$CR$636:$CR$735&amp;" ",$AX17)))),"")</f>
        <v>0</v>
      </c>
      <c r="AQ17" s="209">
        <f>IF(17=17,IF($U17="","",SUMPRODUCT(--ISNUMBER(SEARCH(" "&amp;$CR$736:$CR$835&amp;" ",$AX17)))),"")</f>
        <v>0</v>
      </c>
      <c r="AR17" s="209">
        <f>IF(17=17,IF($U17="","",SUMPRODUCT(--ISNUMBER(SEARCH(" "&amp;$CR$836:$CR$935&amp;" ",$AX17)))),"")</f>
        <v>0</v>
      </c>
      <c r="AS17" s="209">
        <f>IF(17=17,IF($U17="","",SUMPRODUCT(--ISNUMBER(SEARCH(" "&amp;$CR$936:$CR$1035&amp;" ",$AX17)))),"")</f>
        <v>0</v>
      </c>
      <c r="AT17" s="209">
        <f>IF(17=17,IF($U17="","",SUMPRODUCT(--ISNUMBER(SEARCH(" "&amp;$CR$1036:$CR$1135&amp;" ",$AX17)))),"")</f>
        <v>0</v>
      </c>
      <c r="AU17" s="209">
        <f>IF(17=17,IF($U17="","",SUMPRODUCT(--ISNUMBER(SEARCH(" "&amp;$CR$1136:$CR$1235&amp;" ",$AX17)))),"")</f>
        <v>0</v>
      </c>
      <c r="AV17" s="209">
        <f>IF(17=17,IF($U17="","",SUMPRODUCT(--ISNUMBER(SEARCH(" "&amp;$CR$1236:$CR$1335&amp;" ",$AX17)))),"")</f>
        <v>0</v>
      </c>
      <c r="AW17" s="209">
        <f>IF(17=17,IF($U17="","",SUMPRODUCT(--ISNUMBER(SEARCH(" "&amp;$CR$1336:$CR$1363&amp;" ",$AX17)))),"")</f>
        <v>0</v>
      </c>
      <c r="AX17" s="209" t="str">
        <f>IF(17=17,IF($U17="","",SUBSTITUTE(SUBSTITUTE(SUBSTITUTE(SUBSTITUTE(SUBSTITUTE(SUBSTITUTE(SUBSTITUTE(SUBSTITUTE(SUBSTITUTE($AA17,"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boisson aux amandes </v>
      </c>
      <c r="AY17" s="209">
        <f>IF(17=17,IF($U17="","",SUMPRODUCT(--ISNUMBER(SEARCH(" "&amp;$CR$1373:$CR$1383&amp;" ",$AX17)))),"")</f>
        <v>0</v>
      </c>
      <c r="AZ17" s="209" t="str">
        <f>IF(17=17,IF($U17="","",IF(SUM(AN17:AW17)+SUMPRODUCT(--ISNUMBER(SEARCH(" "&amp;$CR$2421:$CR$2422&amp;" ",$AX17)))&gt;0,"X",IF(AY17&gt;0,"?",""))),"")</f>
        <v/>
      </c>
      <c r="BA17" s="209">
        <f>IF(17=17,IF($U17="","",SUMPRODUCT(--ISNUMBER(SEARCH(" "&amp;$CR$1384:$CR$1404&amp;" ",$AA17)))),"")</f>
        <v>0</v>
      </c>
      <c r="BB17" s="209" t="str">
        <f>IF(17=17,IF($U17="","",IF((BA17)-(0)&gt;0,"X",IF((0)-(0)&gt;0,"?",""))),"")</f>
        <v/>
      </c>
      <c r="BC17" s="209">
        <f>IF(17=17,IF($U17="","",SUMPRODUCT(--ISNUMBER(SEARCH(" "&amp;$CR$1405:$CR$1442&amp;" ",$BD17)))),"")</f>
        <v>0</v>
      </c>
      <c r="BD17" s="209" t="str">
        <f>IF(17=17,IF($U17="","",SUBSTITUTE(SUBSTITUTE($AA17," "&amp;$CR$1443&amp;" "," ")," "&amp;$CR$1444&amp;" "," ")),"")</f>
        <v xml:space="preserve"> boisson aux amandes </v>
      </c>
      <c r="BE17" s="209">
        <f>IF(17=17,IF($U17="","",SUMPRODUCT(--ISNUMBER(SEARCH(" "&amp;$CR$1445:$CR$1455&amp;" ",$BD17)))),"")</f>
        <v>0</v>
      </c>
      <c r="BF17" s="209" t="str">
        <f>IF(17=17,IF($U17="","",IF(BC17&gt;0,"X",IF(BE17&gt;0,"?",""))),"")</f>
        <v/>
      </c>
      <c r="BG17" s="209">
        <f>IF(17=17,IF($U17="","",SUMPRODUCT(--ISNUMBER(SEARCH(" "&amp;$CR$1456:$CR$1555&amp;" ",$BJ17)))),"")</f>
        <v>0</v>
      </c>
      <c r="BH17" s="209">
        <f>IF(17=17,IF($U17="","",SUMPRODUCT(--ISNUMBER(SEARCH(" "&amp;$CR$1556:$CR$1655&amp;" ",$BJ17)))),"")</f>
        <v>0</v>
      </c>
      <c r="BI17" s="209">
        <f>IF(17=17,IF($U17="","",SUMPRODUCT(--ISNUMBER(SEARCH(" "&amp;$CR$1656:$CR$1739&amp;" ",$BJ17)))),"")</f>
        <v>0</v>
      </c>
      <c r="BJ17" s="209" t="str">
        <f>IF(17=17,IF($U17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17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boisson aux amandes </v>
      </c>
      <c r="BK17" s="209">
        <f>IF(17=17,IF($U17="","",SUMPRODUCT(--ISNUMBER(SEARCH(" "&amp;$CR$1790:$CR$1869&amp;" ",$BL17)))+SUMPRODUCT(--ISNUMBER(SEARCH(" "&amp;$CR$2440:$CR$2453&amp;" ",$BL17)))),"")</f>
        <v>0</v>
      </c>
      <c r="BL17" s="209" t="str">
        <f>IF(17=17,IF($U17="","",SUBSTITUTE(SUBSTITUTE(SUBSTITUTE(SUBSTITUTE(SUBSTITUTE(SUBSTITUTE(SUBSTITUTE(SUBSTITUTE(SUBSTITUTE(SUBSTITUTE(SUBSTITUTE(SUBSTITUTE(SUBSTITUTE($BJ17,"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boisson aux amandes </v>
      </c>
      <c r="BM17" s="209" t="str">
        <f>IF(17=17,IF($U17="","",IF(SUM(BG17:BI17)+SUMPRODUCT(--ISNUMBER(SEARCH(" "&amp;$CR$2423:$CR$2424&amp;" ",$BJ17)))&gt;0,"X",IF(BK17&gt;0,"?",""))),"")</f>
        <v/>
      </c>
      <c r="BN17" s="209">
        <f>IF(17=17,IF($U17="","",SUMPRODUCT(--ISNUMBER(SEARCH(" "&amp;$CR$1879:$CR$1936&amp;" ",$BO17)))),"")</f>
        <v>1</v>
      </c>
      <c r="BO17" s="209" t="str">
        <f>IF(17=17,IF($U17="","",SUBSTITUTE(SUBSTITUTE(SUBSTITUTE(SUBSTITUTE(SUBSTITUTE(SUBSTITUTE(SUBSTITUTE(SUBSTITUTE(SUBSTITUTE(SUBSTITUTE(SUBSTITUTE(SUBSTITUTE(SUBSTITUTE(SUBSTITUTE(SUBSTITUTE(SUBSTITUTE(SUBSTITUTE(SUBSTITUTE(SUBSTITUTE(SUBSTITUTE(SUBSTITUTE(SUBSTITUTE(SUBSTITUTE($AA17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boisson aux amandes </v>
      </c>
      <c r="BP17" s="209">
        <f>IF(17=17,IF($U17="","",SUMPRODUCT(--ISNUMBER(SEARCH(" "&amp;$CR$1960:$CR$1976&amp;" ",$BO17)))),"")</f>
        <v>0</v>
      </c>
      <c r="BQ17" s="209" t="str">
        <f>IF(17=17,IF($U17="","",IF(BN17&gt;0,"X",IF(BP17&gt;0,"?",""))),"")</f>
        <v>X</v>
      </c>
      <c r="BR17" s="209">
        <f>IF(17=17,IF($U17="","",SUMPRODUCT(--ISNUMBER(SEARCH(" "&amp;$CR$1977:$CR$1990&amp;" ",$AA17)))),"")</f>
        <v>0</v>
      </c>
      <c r="BS17" s="209">
        <f>IF(17=17,IF($U17="","",SUMPRODUCT(--ISNUMBER(SEARCH(" "&amp;$CR$1991:$CR$2005&amp;" ",$AA17)))),"")</f>
        <v>0</v>
      </c>
      <c r="BT17" s="209" t="str">
        <f>IF(17=17,IF($U17="","",IF((BR17)-(0)&gt;0,"X",IF((BS17)-(0)&gt;0,"?",""))),"")</f>
        <v/>
      </c>
      <c r="BU17" s="209">
        <f>IF(17=17,IF($U17="","",SUMPRODUCT(--ISNUMBER(SEARCH(" "&amp;$CR$2006:$CR$2023&amp;" ",$AA17)))),"")</f>
        <v>0</v>
      </c>
      <c r="BV17" s="209">
        <f>IF(17=17,IF($U17="","",SUMPRODUCT(--ISNUMBER(SEARCH(" "&amp;$CR$2024:$CR$2038&amp;" ",$AA17)))),"")</f>
        <v>0</v>
      </c>
      <c r="BW17" s="209" t="str">
        <f>IF(17=17,IF($U17="","",IF((BU17)-(0)&gt;0,"X",IF((BV17)-(0)&gt;0,"?",""))),"")</f>
        <v/>
      </c>
      <c r="BX17" s="209">
        <f>IF(17=17,IF($U17="","",SUMPRODUCT(--ISNUMBER(SEARCH(" "&amp;$CR$2039:$CR$2057&amp;" ",$AA17)))),"")</f>
        <v>0</v>
      </c>
      <c r="BY17" s="209">
        <f>IF(17=17,IF($U17="","",SUMPRODUCT(--ISNUMBER(SEARCH(" "&amp;$CR$2058:$CR$2072&amp;" ",$AA17)))),"")</f>
        <v>0</v>
      </c>
      <c r="BZ17" s="209" t="str">
        <f>IF(17=17,IF($U17="","",IF((BX17)-(0)&gt;0,"X",IF((BY17)-(0)&gt;0,"?",""))),"")</f>
        <v/>
      </c>
      <c r="CA17" s="209">
        <f>IF(17=17,IF($U17="","",SUMPRODUCT(--ISNUMBER(SEARCH(" "&amp;$CR$2073:$CR$2093&amp;" ",$AA17)))),"")</f>
        <v>0</v>
      </c>
      <c r="CB17" s="209">
        <f>IF(17=17,IF($U17="","",SUMPRODUCT(--ISNUMBER(SEARCH(" "&amp;$CR$2094:$CR$2133&amp;" ",SUBSTITUTE(SUBSTITUTE($AA17," "&amp;$CR$1367&amp;" "," ")," "&amp;$CR$1366&amp;" "," "))))+--ISNUMBER(SEARCH("poiré",$V17))),"")</f>
        <v>0</v>
      </c>
      <c r="CC17" s="209" t="str">
        <f>IF(17=17,IF($U17="","",IF(OR(CA17&gt;0,ISNUMBER(SEARCH(" vinaigre de vin ",$AA17)),ISNUMBER(SEARCH(" vinaigre au vin ",$AA17))),"X",IF(CB17&gt;0,"?",""))),"")</f>
        <v/>
      </c>
      <c r="CD17" s="209">
        <f>IF(17=17,IF($U17="","",SUMPRODUCT(--ISNUMBER(SEARCH(" "&amp;$CR$2134:$CR$2146&amp;" ",$AA17)))),"")</f>
        <v>0</v>
      </c>
      <c r="CE17" s="209">
        <f>IF(17=17,IF($U17="","",SUMPRODUCT(--ISNUMBER(SEARCH(" "&amp;$CR$2147:$CR$2152&amp;" ",$AA17)))),"")</f>
        <v>0</v>
      </c>
      <c r="CF17" s="209" t="str">
        <f>IF(17=17,IF($U17="","",IF((CD17)-(0)&gt;0,"X",IF((CE17)-(0)&gt;0,"?",""))),"")</f>
        <v/>
      </c>
      <c r="CG17" s="209">
        <f>IF(17=17,IF($U17="","",SUMPRODUCT(--ISNUMBER(SEARCH(" "&amp;$CR$2153:$CR$2252&amp;" ",$CJ17)))),"")</f>
        <v>0</v>
      </c>
      <c r="CH17" s="209">
        <f>IF(17=17,IF($U17="","",SUMPRODUCT(--ISNUMBER(SEARCH(" "&amp;$CR$2253:$CR$2352&amp;" ",$CJ17)))),"")</f>
        <v>0</v>
      </c>
      <c r="CI17" s="209">
        <f>IF(17=17,IF($U17="","",SUMPRODUCT(--ISNUMBER(SEARCH(" "&amp;$CR$2353:$CR$2395&amp;" ",$CJ17)))),"")</f>
        <v>0</v>
      </c>
      <c r="CJ17" s="209" t="str">
        <f>IF(17=17,IF($U17="","",SUBSTITUTE(SUBSTITUTE(SUBSTITUTE(SUBSTITUTE(SUBSTITUTE(SUBSTITUTE(SUBSTITUTE(SUBSTITUTE(SUBSTITUTE(SUBSTITUTE(SUBSTITUTE(SUBSTITUTE(SUBSTITUTE(SUBSTITUTE(SUBSTITUTE(SUBSTITUTE($AA17,"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boisson aux amandes </v>
      </c>
      <c r="CK17" s="209">
        <f>IF(17=17,IF($U17="","",SUMPRODUCT(--ISNUMBER(SEARCH(" "&amp;$CR$2412:$CR$2416&amp;" ",$CJ17)))),"")</f>
        <v>0</v>
      </c>
      <c r="CL17" s="209" t="str">
        <f>IF(17=17,IF($U17="","",IF(SUM(CG17:CI17)&gt;0,"X",IF(CK17&gt;0,"?",""))),"")</f>
        <v/>
      </c>
      <c r="CM17" s="210"/>
      <c r="CN17" s="213" t="s">
        <v>1000</v>
      </c>
      <c r="CO17" s="213" t="s">
        <v>878</v>
      </c>
      <c r="CP17" s="213" t="s">
        <v>879</v>
      </c>
      <c r="CQ17" s="213" t="s">
        <v>1001</v>
      </c>
      <c r="CR17" s="213" t="s">
        <v>1001</v>
      </c>
      <c r="CS17" s="213" t="s">
        <v>971</v>
      </c>
      <c r="CT17" s="213" t="s">
        <v>972</v>
      </c>
      <c r="CU17" s="213" t="s">
        <v>883</v>
      </c>
      <c r="CV17" s="214" t="s">
        <v>973</v>
      </c>
      <c r="CX17" s="212">
        <v>1</v>
      </c>
    </row>
    <row r="18" spans="1:102" ht="21" customHeight="1">
      <c r="A18" s="229">
        <v>12</v>
      </c>
      <c r="B18" s="230" t="s">
        <v>6475</v>
      </c>
      <c r="C18" s="231" t="str">
        <f t="shared" si="0"/>
        <v>Boisson aux noisettes *</v>
      </c>
      <c r="D18" s="232" t="str">
        <f>IF(18=18,IF($B18="","",IF(E18="X",""&amp;"Céréales contenant du gluten","")&amp;IF(F18="X",IF(COUNTIF($E18:$E18,"X")&gt;0,", ","")&amp;"Crustacés","")&amp;IF(G18="X",IF(COUNTIF($E18:$F18,"X")&gt;0,", ","")&amp;"Œufs","")&amp;IF(H18="X",IF(COUNTIF($E18:$G18,"X")&gt;0,", ","")&amp;"Poissons","")&amp;IF(I18="X",IF(COUNTIF($E18:$H18,"X")&gt;0,", ","")&amp;"Arachides","")&amp;IF(J18="X",IF(COUNTIF($E18:$I18,"X")&gt;0,", ","")&amp;"Soja","")&amp;IF(K18="X",IF(COUNTIF($E18:$J18,"X")&gt;0,", ","")&amp;"Lait","")&amp;IF(L18="X",IF(COUNTIF($E18:$K18,"X")&gt;0,", ","")&amp;"Fruits à coque","")&amp;IF(M18="X",IF(COUNTIF($E18:$L18,"X")&gt;0,", ","")&amp;"Céleri","")&amp;IF(N18="X",IF(COUNTIF($E18:$M18,"X")&gt;0,", ","")&amp;"Moutarde","")&amp;IF(O18="X",IF(COUNTIF($E18:$N18,"X")&gt;0,", ","")&amp;"Sésame","")&amp;IF(P18="X",IF(COUNTIF($E18:$O18,"X")&gt;0,", ","")&amp;"Sulfites","")&amp;IF(Q18="X",IF(COUNTIF($E18:$P18,"X")&gt;0,", ","")&amp;"Lupin","")&amp;IF(R18="X",IF(COUNTIF($E18:$Q18,"X")&gt;0,", ","")&amp;"Mollusques","")),"")</f>
        <v>Fruits à coque</v>
      </c>
      <c r="E18" s="233" t="str">
        <f>IF(18=18,IF($B18="","",IF(OR(ISNUMBER(SEARCH(" biere sans gluten ",$AA18)),ISNUMBER(SEARCH(" gluten free beer ",$AA18)),ISNUMBER(SEARCH(" beer gluten free ",$AA18))),"",IF(AF18="X","X",IF(OR(AF18="?",OR(ISNUMBER(SEARCH(" worcestershire ",$AA18)),ISNUMBER(SEARCH(" bloody mary ",$AA18)))),"?","")))),"")</f>
        <v/>
      </c>
      <c r="F18" s="233" t="str">
        <f>IF(18=18,IF($B18="","",AI18),"")</f>
        <v/>
      </c>
      <c r="G18" s="233" t="str">
        <f>IF(18=18,IF($B18="","",IF(OR(TRIM($AA18)="puree pate d amande",TRIM($AA18)="pate puree d amande",TRIM($AA18)="puree d amande",TRIM($AA18)="pate d amande",TRIM($AA18)="pate puree de noisette",TRIM($AA18)="puree pate de noisette",TRIM($AA18)="puree de noisette",TRIM($AA18)="pate de noisette"),"",IF(OR(AM18="X",OR(ISNUMBER(SEARCH(" macaron ",$AA18)),ISNUMBER(SEARCH(" egg nog ",$AA18)),ISNUMBER(SEARCH(" eggnog ",$AA18)))),"X",IF(OR(AM18="?",OR(ISNUMBER(SEARCH(" biscuit decoratif ",$AA18)),ISNUMBER(SEARCH(" whisky sour ",$AA18)),ISNUMBER(SEARCH(" whiskey sour ",$AA18)),ISNUMBER(SEARCH(" amaretto sour ",$AA18)),ISNUMBER(SEARCH(" pisco sour ",$AA18)),ISNUMBER(SEARCH(" clover club ",$AA18)),ISNUMBER(SEARCH(" ramos gin fizz ",$AA18)))),"?","")))),"")</f>
        <v/>
      </c>
      <c r="H18" s="233" t="str">
        <f>IF(18=18,IF($B18="","",IF(ISNUMBER(SEARCH(" colin ",$AA18)),"X",IF(AZ18="X","X",IF(OR(AZ18="?",OR(ISNUMBER(SEARCH(" worcestershire ",$AA18)),ISNUMBER(SEARCH(" bloody mary ",$AA18)))),"?","")))),"")</f>
        <v/>
      </c>
      <c r="I18" s="233" t="str">
        <f>IF(18=18,IF($B18="","",BB18),"")</f>
        <v/>
      </c>
      <c r="J18" s="233" t="str">
        <f>IF(18=18,IF($B18="","",BF18),"")</f>
        <v/>
      </c>
      <c r="K18" s="233" t="str">
        <f>IF(18=18,IF($B18="","",IF(OR(OR(TRIM($AA18)="puree pate d amande",TRIM($AA18)="pate puree d amande",TRIM($AA18)="puree d amande",TRIM($AA18)="pate d amande",TRIM($AA18)="pate puree de noisette",TRIM($AA18)="puree pate de noisette",TRIM($AA18)="puree de noisette",TRIM($AA18)="pate de noisette"),OR(TRIM($AA18)="beurre puree d arachide",TRIM($AA18)="beurre d arachide",TRIM($AA18)="puree d arachide"),OR(TRIM($AA18)="tahini puree de sesame",TRIM($AA18)="tahini",TRIM($AA18)="puree de sesame")),"",IF(OR(TRIM($AA18)="creme de cassis",TRIM($AA18)="creme de menthe",TRIM($AA18)="creme de cacao",TRIM($AA18)="creme de mure",TRIM($AA18)="creme de framboise",TRIM($AA18)="creme de peche",TRIM($AA18)="creme de banane",TRIM($AA18)="liqueur creme de coco",TRIM($AA18)="creme de coco",TRIM($AA18)="spiritueux aromatise arrange creme de spiritueux"),"?",IF(OR(BM18="X",OR(ISNUMBER(SEARCH(" baileys ",$AA18)),ISNUMBER(SEARCH(" irish cream ",$AA18)),ISNUMBER(SEARCH(" creme de whisky ",$AA18)))),"X",IF(OR(BM18="?",OR(OR(TRIM($AA18)="creme de cassis",TRIM($AA18)="creme de menthe",TRIM($AA18)="creme de cacao",TRIM($AA18)="creme de mure",TRIM($AA18)="creme de framboise",TRIM($AA18)="creme de peche",TRIM($AA18)="creme de banane",TRIM($AA18)="liqueur creme de coco",TRIM($AA18)="creme de coco",TRIM($AA18)="spiritueux aromatise arrange creme de spiritueux"),ISNUMBER(SEARCH(" advocaat ",$AA18)),ISNUMBER(SEARCH(" liqueur aux oeufs ",$AA18)),ISNUMBER(SEARCH(" liqueur de chocolat ",$AA18)),ISNUMBER(SEARCH(" liqueur de caramel ",$AA18)),ISNUMBER(SEARCH(" sauce nappage chocolat ",$AA18)),ISNUMBER(SEARCH(" biscuit decoratif ",$AA18)),ISNUMBER(SEARCH(" white russian ",$AA18)),ISNUMBER(SEARCH(" grasshopper ",$AA18)),ISNUMBER(SEARCH(" irish coffee ",$AA18)),ISNUMBER(SEARCH(" ramos gin fizz ",$AA18)),ISNUMBER(SEARCH(" egg nog ",$AA18)),ISNUMBER(SEARCH(" eggnog ",$AA18)))),"?",""))))),"")</f>
        <v/>
      </c>
      <c r="L18" s="233" t="str">
        <f>IF(18=18,IF($B18="","",IF(OR(BQ18="X",OR(OR(TRIM($AA18)="puree pate d amande",TRIM($AA18)="pate puree d amande",TRIM($AA18)="puree d amande",TRIM($AA18)="pate d amande",TRIM($AA18)="pate puree de noisette",TRIM($AA18)="puree pate de noisette",TRIM($AA18)="puree de noisette",TRIM($AA18)="pate de noisette"),ISNUMBER(SEARCH(" macaron ",$AA18)),TRIM($AA18)="fruits a coque")),"X",IF(OR(BQ18="?",OR(ISNUMBER(SEARCH(" sirop d orgeat ",$AA18)),ISNUMBER(SEARCH(" orgeat ",$AA18)),ISNUMBER(SEARCH(" amaretto ",$AA18)))),"?",""))),"")</f>
        <v>X</v>
      </c>
      <c r="M18" s="233" t="str">
        <f>IF(18=18,IF($B18="","",IF(OR(OR(TRIM($AA18)="puree pate d amande",TRIM($AA18)="pate puree d amande",TRIM($AA18)="puree d amande",TRIM($AA18)="pate d amande",TRIM($AA18)="pate puree de noisette",TRIM($AA18)="puree pate de noisette",TRIM($AA18)="puree de noisette",TRIM($AA18)="pate de noisette"),OR(TRIM($AA18)="tahini puree de sesame",TRIM($AA18)="tahini",TRIM($AA18)="puree de sesame")),"",IF(BT18="X","X",IF(OR(BT18="?",ISNUMBER(SEARCH(" bloody mary ",$AA18))),"?","")))),"")</f>
        <v/>
      </c>
      <c r="N18" s="233" t="str">
        <f>IF(18=18,IF($B18="","",IF(OR(OR(TRIM($AA18)="puree pate d amande",TRIM($AA18)="pate puree d amande",TRIM($AA18)="puree d amande",TRIM($AA18)="pate d amande",TRIM($AA18)="pate puree de noisette",TRIM($AA18)="puree pate de noisette",TRIM($AA18)="puree de noisette",TRIM($AA18)="pate de noisette"),OR(TRIM($AA18)="tahini puree de sesame",TRIM($AA18)="tahini",TRIM($AA18)="puree de sesame")),"",IF(BW18="X","X",IF(OR(BW18="?",ISNUMBER(SEARCH(" bloody mary ",$AA18))),"?","")))),"")</f>
        <v/>
      </c>
      <c r="O18" s="233" t="str">
        <f>IF(18=18,IF($B18="","",BZ18),"")</f>
        <v/>
      </c>
      <c r="P18" s="233" t="str">
        <f>IF(18=18,IF($B18="","",CC18),"")</f>
        <v/>
      </c>
      <c r="Q18" s="233" t="str">
        <f>IF(18=18,IF($B18="","",CF18),"")</f>
        <v/>
      </c>
      <c r="R18" s="233" t="str">
        <f>IF(18=18,IF($B18="","",IF(TRIM($AA18)="fruits a coque","",IF(CL18="X","X",IF(OR(CL18="?",OR(ISNUMBER(SEARCH(" clamato ",$AA18)),ISNUMBER(SEARCH(" bloody caesar ",$AA18)))),"?","")))),"")</f>
        <v/>
      </c>
      <c r="S18" s="234" t="str">
        <f>IF(18=18,IF($B18="","",IF(E18="?",""&amp;"Céréales contenant du gluten","")&amp;IF(F18="?",IF(COUNTIF($E18:$E18,"~?")&gt;0,", ","")&amp;"Crustacés","")&amp;IF(G18="?",IF(COUNTIF($E18:$F18,"~?")&gt;0,", ","")&amp;"Œufs","")&amp;IF(H18="?",IF(COUNTIF($E18:$G18,"~?")&gt;0,", ","")&amp;"Poissons","")&amp;IF(I18="?",IF(COUNTIF($E18:$H18,"~?")&gt;0,", ","")&amp;"Arachides","")&amp;IF(J18="?",IF(COUNTIF($E18:$I18,"~?")&gt;0,", ","")&amp;"Soja","")&amp;IF(K18="?",IF(COUNTIF($E18:$J18,"~?")&gt;0,", ","")&amp;"Lait","")&amp;IF(L18="?",IF(COUNTIF($E18:$K18,"~?")&gt;0,", ","")&amp;"Fruits à coque","")&amp;IF(M18="?",IF(COUNTIF($E18:$L18,"~?")&gt;0,", ","")&amp;"Céleri","")&amp;IF(N18="?",IF(COUNTIF($E18:$M18,"~?")&gt;0,", ","")&amp;"Moutarde","")&amp;IF(O18="?",IF(COUNTIF($E18:$N18,"~?")&gt;0,", ","")&amp;"Sésame","")&amp;IF(P18="?",IF(COUNTIF($E18:$O18,"~?")&gt;0,", ","")&amp;"Sulfites","")&amp;IF(Q18="?",IF(COUNTIF($E18:$P18,"~?")&gt;0,", ","")&amp;"Lupin","")&amp;IF(R18="?",IF(COUNTIF($E18:$Q18,"~?")&gt;0,", ","")&amp;"Mollusques","")),"")</f>
        <v/>
      </c>
      <c r="U18" s="209" t="str">
        <f>IF(18=18,IF($B18="","",$B18),"")</f>
        <v>Boisson aux noisettes</v>
      </c>
      <c r="V18" s="209" t="str">
        <f>IF(18=18,LOWER(CLEAN(SUBSTITUTE(SUBSTITUTE(SUBSTITUTE(SUBSTITUTE($U18,CHAR(160)," ")," "," "),CHAR(10)," "),CHAR(13)," "))),"")</f>
        <v>boisson aux noisettes</v>
      </c>
      <c r="W18" s="209" t="str">
        <f>IF(18=18,SUBSTITUTE(SUBSTITUTE(SUBSTITUTE(SUBSTITUTE(SUBSTITUTE(SUBSTITUTE(SUBSTITUTE(SUBSTITUTE(SUBSTITUTE(SUBSTITUTE(SUBSTITUTE(SUBSTITUTE($V18,"œ","oe"),"æ","ae"),"à","a"),"á","a"),"â","a"),"ä","a"),"ã","a"),"ç","c"),"è","e"),"é","e"),"ê","e"),"ë","e"),"")</f>
        <v>boisson aux noisettes</v>
      </c>
      <c r="X18" s="209" t="str">
        <f>IF(18=18,SUBSTITUTE(SUBSTITUTE(SUBSTITUTE(SUBSTITUTE(SUBSTITUTE(SUBSTITUTE(SUBSTITUTE(SUBSTITUTE(SUBSTITUTE(SUBSTITUTE(SUBSTITUTE(SUBSTITUTE(SUBSTITUTE(SUBSTITUTE(SUBSTITUTE(SUBSTITUTE($W18,"ì","i"),"í","i"),"î","i"),"ï","i"),"ñ","n"),"ò","o"),"ó","o"),"ô","o"),"ö","o"),"õ","o"),"ù","u"),"ú","u"),"û","u"),"ü","u"),"ý","y"),"ÿ","y"),"")</f>
        <v>boisson aux noisettes</v>
      </c>
      <c r="Y18" s="209" t="str">
        <f>IF(18=18,SUBSTITUTE(SUBSTITUTE(SUBSTITUTE(SUBSTITUTE(SUBSTITUTE(SUBSTITUTE(SUBSTITUTE(SUBSTITUTE(SUBSTITUTE(SUBSTITUTE(SUBSTITUTE(SUBSTITUTE(SUBSTITUTE(SUBSTITUTE($X18,"’"," "),"`"," "),"–"," "),"—"," "),"-"," "),"'"," "),"/"," "),"_"," "),","," "),"."," "),"("," "),")"," "),";"," "),":"," "),"")</f>
        <v>boisson aux noisettes</v>
      </c>
      <c r="Z18" s="209" t="str">
        <f>IF(18=18,SUBSTITUTE(SUBSTITUTE(SUBSTITUTE(SUBSTITUTE(SUBSTITUTE(SUBSTITUTE(SUBSTITUTE(SUBSTITUTE(SUBSTITUTE(SUBSTITUTE(SUBSTITUTE(SUBSTITUTE(SUBSTITUTE(SUBSTITUTE(SUBSTITUTE($Y18,"!"," "),"?"," "),"+"," "),"*"," "),"&amp;"," "),"["," "),"]"," "),"{"," "),"}"," "),"%"," "),"="," "),"\"," "),"|"," "),"&lt;"," "),"&gt;"," "),"")</f>
        <v>boisson aux noisettes</v>
      </c>
      <c r="AA18" s="209" t="str">
        <f>IF(18=18," "&amp;TRIM(SUBSTITUTE(SUBSTITUTE(SUBSTITUTE(SUBSTITUTE(SUBSTITUTE(SUBSTITUTE($Z18,CHAR(34)," "),"  "," "),"  "," "),"  "," "),"  "," "),"  "," "))&amp;" ","")</f>
        <v xml:space="preserve"> boisson aux noisettes </v>
      </c>
      <c r="AB18" s="209">
        <f>IF(18=18,IF($U18="","",SUMPRODUCT(--ISNUMBER(SEARCH(" "&amp;$CR$2:$CR$101&amp;" ",$AD18)))),"")</f>
        <v>0</v>
      </c>
      <c r="AC18" s="209">
        <f>IF(18=18,IF($U18="","",SUMPRODUCT(--ISNUMBER(SEARCH(" "&amp;$CR$102:$CR$151&amp;" ",$AD18)))),"")</f>
        <v>0</v>
      </c>
      <c r="AD18" s="209" t="str">
        <f t="shared" si="1"/>
        <v xml:space="preserve"> boisson aux noisettes </v>
      </c>
      <c r="AE18" s="209">
        <f t="shared" si="2"/>
        <v>0</v>
      </c>
      <c r="AF18" s="209" t="str">
        <f>IF(18=18,IF($U18="","",IF(SUM(AB18:AC18)+SUMPRODUCT(--ISNUMBER(SEARCH(" "&amp;$CR$2418:$CR$2420&amp;" ",$AD18)))&gt;0,"X",IF(AE18&gt;0,"?",""))),"")</f>
        <v/>
      </c>
      <c r="AG18" s="209">
        <f>IF(18=18,IF($U18="","",SUMPRODUCT(--ISNUMBER(SEARCH(" "&amp;$CR$206:$CR$305&amp;" ",$AA18)))),"")</f>
        <v>0</v>
      </c>
      <c r="AH18" s="209">
        <f>IF(18=18,IF($U18="","",SUMPRODUCT(--ISNUMBER(SEARCH(" "&amp;$CR$306:$CR$340&amp;" ",$AA18)))),"")</f>
        <v>0</v>
      </c>
      <c r="AI18" s="209" t="str">
        <f>IF(18=18,IF($U18="","",IF((SUM(AG18:AH18))-(0)&gt;0,"X",IF((0)-(0)&gt;0,"?",""))),"")</f>
        <v/>
      </c>
      <c r="AJ18" s="209">
        <f>IF(18=18,IF($U18="","",SUMPRODUCT(--ISNUMBER(SEARCH(" "&amp;$CR$341:$CR$398&amp;" ",$AA18)))),"")</f>
        <v>0</v>
      </c>
      <c r="AK18" s="209">
        <f>IF(18=18,IF($U18="","",SUMPRODUCT(--ISNUMBER(SEARCH(" "&amp;$CR$399:$CR$426&amp;" ",$AL18)))+SUMPRODUCT(--ISNUMBER(SEARCH(" "&amp;$CR$2440:$CR$2453&amp;" ",$AL18)))),"")</f>
        <v>0</v>
      </c>
      <c r="AL18" s="209" t="str">
        <f>IF(18=18,IF($U18="","",SUBSTITUTE(SUBSTITUTE(SUBSTITUTE(SUBSTITUTE(SUBSTITUTE(SUBSTITUTE(SUBSTITUTE(SUBSTITUTE(SUBSTITUTE(SUBSTITUTE(SUBSTITUTE(SUBSTITUTE(SUBSTITUTE(SUBSTITUTE($AA18,"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boisson aux noisettes </v>
      </c>
      <c r="AM18" s="209" t="str">
        <f>IF(18=18,IF($U18="","",IF(AJ18&gt;0,"X",IF(AK18&gt;0,"?",""))),"")</f>
        <v/>
      </c>
      <c r="AN18" s="209">
        <f>IF(18=18,IF($U18="","",SUMPRODUCT(--ISNUMBER(SEARCH(" "&amp;$CR$436:$CR$535&amp;" ",$AX18)))),"")</f>
        <v>0</v>
      </c>
      <c r="AO18" s="209">
        <f>IF(18=18,IF($U18="","",SUMPRODUCT(--ISNUMBER(SEARCH(" "&amp;$CR$536:$CR$635&amp;" ",$AX18)))),"")</f>
        <v>0</v>
      </c>
      <c r="AP18" s="209">
        <f>IF(18=18,IF($U18="","",SUMPRODUCT(--ISNUMBER(SEARCH(" "&amp;$CR$636:$CR$735&amp;" ",$AX18)))),"")</f>
        <v>0</v>
      </c>
      <c r="AQ18" s="209">
        <f>IF(18=18,IF($U18="","",SUMPRODUCT(--ISNUMBER(SEARCH(" "&amp;$CR$736:$CR$835&amp;" ",$AX18)))),"")</f>
        <v>0</v>
      </c>
      <c r="AR18" s="209">
        <f>IF(18=18,IF($U18="","",SUMPRODUCT(--ISNUMBER(SEARCH(" "&amp;$CR$836:$CR$935&amp;" ",$AX18)))),"")</f>
        <v>0</v>
      </c>
      <c r="AS18" s="209">
        <f>IF(18=18,IF($U18="","",SUMPRODUCT(--ISNUMBER(SEARCH(" "&amp;$CR$936:$CR$1035&amp;" ",$AX18)))),"")</f>
        <v>0</v>
      </c>
      <c r="AT18" s="209">
        <f>IF(18=18,IF($U18="","",SUMPRODUCT(--ISNUMBER(SEARCH(" "&amp;$CR$1036:$CR$1135&amp;" ",$AX18)))),"")</f>
        <v>0</v>
      </c>
      <c r="AU18" s="209">
        <f>IF(18=18,IF($U18="","",SUMPRODUCT(--ISNUMBER(SEARCH(" "&amp;$CR$1136:$CR$1235&amp;" ",$AX18)))),"")</f>
        <v>0</v>
      </c>
      <c r="AV18" s="209">
        <f>IF(18=18,IF($U18="","",SUMPRODUCT(--ISNUMBER(SEARCH(" "&amp;$CR$1236:$CR$1335&amp;" ",$AX18)))),"")</f>
        <v>0</v>
      </c>
      <c r="AW18" s="209">
        <f>IF(18=18,IF($U18="","",SUMPRODUCT(--ISNUMBER(SEARCH(" "&amp;$CR$1336:$CR$1363&amp;" ",$AX18)))),"")</f>
        <v>0</v>
      </c>
      <c r="AX18" s="209" t="str">
        <f>IF(18=18,IF($U18="","",SUBSTITUTE(SUBSTITUTE(SUBSTITUTE(SUBSTITUTE(SUBSTITUTE(SUBSTITUTE(SUBSTITUTE(SUBSTITUTE(SUBSTITUTE($AA18,"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boisson aux noisettes </v>
      </c>
      <c r="AY18" s="209">
        <f>IF(18=18,IF($U18="","",SUMPRODUCT(--ISNUMBER(SEARCH(" "&amp;$CR$1373:$CR$1383&amp;" ",$AX18)))),"")</f>
        <v>0</v>
      </c>
      <c r="AZ18" s="209" t="str">
        <f>IF(18=18,IF($U18="","",IF(SUM(AN18:AW18)+SUMPRODUCT(--ISNUMBER(SEARCH(" "&amp;$CR$2421:$CR$2422&amp;" ",$AX18)))&gt;0,"X",IF(AY18&gt;0,"?",""))),"")</f>
        <v/>
      </c>
      <c r="BA18" s="209">
        <f>IF(18=18,IF($U18="","",SUMPRODUCT(--ISNUMBER(SEARCH(" "&amp;$CR$1384:$CR$1404&amp;" ",$AA18)))),"")</f>
        <v>0</v>
      </c>
      <c r="BB18" s="209" t="str">
        <f>IF(18=18,IF($U18="","",IF((BA18)-(0)&gt;0,"X",IF((0)-(0)&gt;0,"?",""))),"")</f>
        <v/>
      </c>
      <c r="BC18" s="209">
        <f>IF(18=18,IF($U18="","",SUMPRODUCT(--ISNUMBER(SEARCH(" "&amp;$CR$1405:$CR$1442&amp;" ",$BD18)))),"")</f>
        <v>0</v>
      </c>
      <c r="BD18" s="209" t="str">
        <f>IF(18=18,IF($U18="","",SUBSTITUTE(SUBSTITUTE($AA18," "&amp;$CR$1443&amp;" "," ")," "&amp;$CR$1444&amp;" "," ")),"")</f>
        <v xml:space="preserve"> boisson aux noisettes </v>
      </c>
      <c r="BE18" s="209">
        <f>IF(18=18,IF($U18="","",SUMPRODUCT(--ISNUMBER(SEARCH(" "&amp;$CR$1445:$CR$1455&amp;" ",$BD18)))),"")</f>
        <v>0</v>
      </c>
      <c r="BF18" s="209" t="str">
        <f>IF(18=18,IF($U18="","",IF(BC18&gt;0,"X",IF(BE18&gt;0,"?",""))),"")</f>
        <v/>
      </c>
      <c r="BG18" s="209">
        <f>IF(18=18,IF($U18="","",SUMPRODUCT(--ISNUMBER(SEARCH(" "&amp;$CR$1456:$CR$1555&amp;" ",$BJ18)))),"")</f>
        <v>0</v>
      </c>
      <c r="BH18" s="209">
        <f>IF(18=18,IF($U18="","",SUMPRODUCT(--ISNUMBER(SEARCH(" "&amp;$CR$1556:$CR$1655&amp;" ",$BJ18)))),"")</f>
        <v>0</v>
      </c>
      <c r="BI18" s="209">
        <f>IF(18=18,IF($U18="","",SUMPRODUCT(--ISNUMBER(SEARCH(" "&amp;$CR$1656:$CR$1739&amp;" ",$BJ18)))),"")</f>
        <v>0</v>
      </c>
      <c r="BJ18" s="209" t="str">
        <f>IF(18=18,IF($U18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18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boisson aux noisettes </v>
      </c>
      <c r="BK18" s="209">
        <f>IF(18=18,IF($U18="","",SUMPRODUCT(--ISNUMBER(SEARCH(" "&amp;$CR$1790:$CR$1869&amp;" ",$BL18)))+SUMPRODUCT(--ISNUMBER(SEARCH(" "&amp;$CR$2440:$CR$2453&amp;" ",$BL18)))),"")</f>
        <v>0</v>
      </c>
      <c r="BL18" s="209" t="str">
        <f>IF(18=18,IF($U18="","",SUBSTITUTE(SUBSTITUTE(SUBSTITUTE(SUBSTITUTE(SUBSTITUTE(SUBSTITUTE(SUBSTITUTE(SUBSTITUTE(SUBSTITUTE(SUBSTITUTE(SUBSTITUTE(SUBSTITUTE(SUBSTITUTE($BJ18,"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boisson aux noisettes </v>
      </c>
      <c r="BM18" s="209" t="str">
        <f>IF(18=18,IF($U18="","",IF(SUM(BG18:BI18)+SUMPRODUCT(--ISNUMBER(SEARCH(" "&amp;$CR$2423:$CR$2424&amp;" ",$BJ18)))&gt;0,"X",IF(BK18&gt;0,"?",""))),"")</f>
        <v/>
      </c>
      <c r="BN18" s="209">
        <f>IF(18=18,IF($U18="","",SUMPRODUCT(--ISNUMBER(SEARCH(" "&amp;$CR$1879:$CR$1936&amp;" ",$BO18)))),"")</f>
        <v>1</v>
      </c>
      <c r="BO18" s="209" t="str">
        <f>IF(18=18,IF($U18="","",SUBSTITUTE(SUBSTITUTE(SUBSTITUTE(SUBSTITUTE(SUBSTITUTE(SUBSTITUTE(SUBSTITUTE(SUBSTITUTE(SUBSTITUTE(SUBSTITUTE(SUBSTITUTE(SUBSTITUTE(SUBSTITUTE(SUBSTITUTE(SUBSTITUTE(SUBSTITUTE(SUBSTITUTE(SUBSTITUTE(SUBSTITUTE(SUBSTITUTE(SUBSTITUTE(SUBSTITUTE(SUBSTITUTE($AA18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boisson aux noisettes </v>
      </c>
      <c r="BP18" s="209">
        <f>IF(18=18,IF($U18="","",SUMPRODUCT(--ISNUMBER(SEARCH(" "&amp;$CR$1960:$CR$1976&amp;" ",$BO18)))),"")</f>
        <v>0</v>
      </c>
      <c r="BQ18" s="209" t="str">
        <f>IF(18=18,IF($U18="","",IF(BN18&gt;0,"X",IF(BP18&gt;0,"?",""))),"")</f>
        <v>X</v>
      </c>
      <c r="BR18" s="209">
        <f>IF(18=18,IF($U18="","",SUMPRODUCT(--ISNUMBER(SEARCH(" "&amp;$CR$1977:$CR$1990&amp;" ",$AA18)))),"")</f>
        <v>0</v>
      </c>
      <c r="BS18" s="209">
        <f>IF(18=18,IF($U18="","",SUMPRODUCT(--ISNUMBER(SEARCH(" "&amp;$CR$1991:$CR$2005&amp;" ",$AA18)))),"")</f>
        <v>0</v>
      </c>
      <c r="BT18" s="209" t="str">
        <f>IF(18=18,IF($U18="","",IF((BR18)-(0)&gt;0,"X",IF((BS18)-(0)&gt;0,"?",""))),"")</f>
        <v/>
      </c>
      <c r="BU18" s="209">
        <f>IF(18=18,IF($U18="","",SUMPRODUCT(--ISNUMBER(SEARCH(" "&amp;$CR$2006:$CR$2023&amp;" ",$AA18)))),"")</f>
        <v>0</v>
      </c>
      <c r="BV18" s="209">
        <f>IF(18=18,IF($U18="","",SUMPRODUCT(--ISNUMBER(SEARCH(" "&amp;$CR$2024:$CR$2038&amp;" ",$AA18)))),"")</f>
        <v>0</v>
      </c>
      <c r="BW18" s="209" t="str">
        <f>IF(18=18,IF($U18="","",IF((BU18)-(0)&gt;0,"X",IF((BV18)-(0)&gt;0,"?",""))),"")</f>
        <v/>
      </c>
      <c r="BX18" s="209">
        <f>IF(18=18,IF($U18="","",SUMPRODUCT(--ISNUMBER(SEARCH(" "&amp;$CR$2039:$CR$2057&amp;" ",$AA18)))),"")</f>
        <v>0</v>
      </c>
      <c r="BY18" s="209">
        <f>IF(18=18,IF($U18="","",SUMPRODUCT(--ISNUMBER(SEARCH(" "&amp;$CR$2058:$CR$2072&amp;" ",$AA18)))),"")</f>
        <v>0</v>
      </c>
      <c r="BZ18" s="209" t="str">
        <f>IF(18=18,IF($U18="","",IF((BX18)-(0)&gt;0,"X",IF((BY18)-(0)&gt;0,"?",""))),"")</f>
        <v/>
      </c>
      <c r="CA18" s="209">
        <f>IF(18=18,IF($U18="","",SUMPRODUCT(--ISNUMBER(SEARCH(" "&amp;$CR$2073:$CR$2093&amp;" ",$AA18)))),"")</f>
        <v>0</v>
      </c>
      <c r="CB18" s="209">
        <f>IF(18=18,IF($U18="","",SUMPRODUCT(--ISNUMBER(SEARCH(" "&amp;$CR$2094:$CR$2133&amp;" ",SUBSTITUTE(SUBSTITUTE($AA18," "&amp;$CR$1367&amp;" "," ")," "&amp;$CR$1366&amp;" "," "))))+--ISNUMBER(SEARCH("poiré",$V18))),"")</f>
        <v>0</v>
      </c>
      <c r="CC18" s="209" t="str">
        <f>IF(18=18,IF($U18="","",IF(OR(CA18&gt;0,ISNUMBER(SEARCH(" vinaigre de vin ",$AA18)),ISNUMBER(SEARCH(" vinaigre au vin ",$AA18))),"X",IF(CB18&gt;0,"?",""))),"")</f>
        <v/>
      </c>
      <c r="CD18" s="209">
        <f>IF(18=18,IF($U18="","",SUMPRODUCT(--ISNUMBER(SEARCH(" "&amp;$CR$2134:$CR$2146&amp;" ",$AA18)))),"")</f>
        <v>0</v>
      </c>
      <c r="CE18" s="209">
        <f>IF(18=18,IF($U18="","",SUMPRODUCT(--ISNUMBER(SEARCH(" "&amp;$CR$2147:$CR$2152&amp;" ",$AA18)))),"")</f>
        <v>0</v>
      </c>
      <c r="CF18" s="209" t="str">
        <f>IF(18=18,IF($U18="","",IF((CD18)-(0)&gt;0,"X",IF((CE18)-(0)&gt;0,"?",""))),"")</f>
        <v/>
      </c>
      <c r="CG18" s="209">
        <f>IF(18=18,IF($U18="","",SUMPRODUCT(--ISNUMBER(SEARCH(" "&amp;$CR$2153:$CR$2252&amp;" ",$CJ18)))),"")</f>
        <v>0</v>
      </c>
      <c r="CH18" s="209">
        <f>IF(18=18,IF($U18="","",SUMPRODUCT(--ISNUMBER(SEARCH(" "&amp;$CR$2253:$CR$2352&amp;" ",$CJ18)))),"")</f>
        <v>0</v>
      </c>
      <c r="CI18" s="209">
        <f>IF(18=18,IF($U18="","",SUMPRODUCT(--ISNUMBER(SEARCH(" "&amp;$CR$2353:$CR$2395&amp;" ",$CJ18)))),"")</f>
        <v>0</v>
      </c>
      <c r="CJ18" s="209" t="str">
        <f>IF(18=18,IF($U18="","",SUBSTITUTE(SUBSTITUTE(SUBSTITUTE(SUBSTITUTE(SUBSTITUTE(SUBSTITUTE(SUBSTITUTE(SUBSTITUTE(SUBSTITUTE(SUBSTITUTE(SUBSTITUTE(SUBSTITUTE(SUBSTITUTE(SUBSTITUTE(SUBSTITUTE(SUBSTITUTE($AA18,"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boisson aux noisettes </v>
      </c>
      <c r="CK18" s="209">
        <f>IF(18=18,IF($U18="","",SUMPRODUCT(--ISNUMBER(SEARCH(" "&amp;$CR$2412:$CR$2416&amp;" ",$CJ18)))),"")</f>
        <v>0</v>
      </c>
      <c r="CL18" s="209" t="str">
        <f>IF(18=18,IF($U18="","",IF(SUM(CG18:CI18)&gt;0,"X",IF(CK18&gt;0,"?",""))),"")</f>
        <v/>
      </c>
      <c r="CM18" s="210"/>
      <c r="CN18" s="213" t="s">
        <v>1002</v>
      </c>
      <c r="CO18" s="213" t="s">
        <v>878</v>
      </c>
      <c r="CP18" s="213" t="s">
        <v>879</v>
      </c>
      <c r="CQ18" s="213" t="s">
        <v>1003</v>
      </c>
      <c r="CR18" s="213" t="s">
        <v>1003</v>
      </c>
      <c r="CS18" s="213" t="s">
        <v>971</v>
      </c>
      <c r="CT18" s="213" t="s">
        <v>972</v>
      </c>
      <c r="CU18" s="213" t="s">
        <v>883</v>
      </c>
      <c r="CV18" s="214" t="s">
        <v>973</v>
      </c>
      <c r="CX18" s="212">
        <v>1</v>
      </c>
    </row>
    <row r="19" spans="1:102" ht="21" customHeight="1">
      <c r="A19" s="229">
        <v>13</v>
      </c>
      <c r="B19" s="230" t="s">
        <v>6480</v>
      </c>
      <c r="C19" s="231" t="str">
        <f t="shared" si="0"/>
        <v>Purée / pâte d'amande *</v>
      </c>
      <c r="D19" s="232" t="str">
        <f>IF(19=19,IF($B19="","",IF(E19="X",""&amp;"Céréales contenant du gluten","")&amp;IF(F19="X",IF(COUNTIF($E19:$E19,"X")&gt;0,", ","")&amp;"Crustacés","")&amp;IF(G19="X",IF(COUNTIF($E19:$F19,"X")&gt;0,", ","")&amp;"Œufs","")&amp;IF(H19="X",IF(COUNTIF($E19:$G19,"X")&gt;0,", ","")&amp;"Poissons","")&amp;IF(I19="X",IF(COUNTIF($E19:$H19,"X")&gt;0,", ","")&amp;"Arachides","")&amp;IF(J19="X",IF(COUNTIF($E19:$I19,"X")&gt;0,", ","")&amp;"Soja","")&amp;IF(K19="X",IF(COUNTIF($E19:$J19,"X")&gt;0,", ","")&amp;"Lait","")&amp;IF(L19="X",IF(COUNTIF($E19:$K19,"X")&gt;0,", ","")&amp;"Fruits à coque","")&amp;IF(M19="X",IF(COUNTIF($E19:$L19,"X")&gt;0,", ","")&amp;"Céleri","")&amp;IF(N19="X",IF(COUNTIF($E19:$M19,"X")&gt;0,", ","")&amp;"Moutarde","")&amp;IF(O19="X",IF(COUNTIF($E19:$N19,"X")&gt;0,", ","")&amp;"Sésame","")&amp;IF(P19="X",IF(COUNTIF($E19:$O19,"X")&gt;0,", ","")&amp;"Sulfites","")&amp;IF(Q19="X",IF(COUNTIF($E19:$P19,"X")&gt;0,", ","")&amp;"Lupin","")&amp;IF(R19="X",IF(COUNTIF($E19:$Q19,"X")&gt;0,", ","")&amp;"Mollusques","")),"")</f>
        <v>Fruits à coque</v>
      </c>
      <c r="E19" s="233" t="str">
        <f>IF(19=19,IF($B19="","",IF(OR(ISNUMBER(SEARCH(" biere sans gluten ",$AA19)),ISNUMBER(SEARCH(" gluten free beer ",$AA19)),ISNUMBER(SEARCH(" beer gluten free ",$AA19))),"",IF(AF19="X","X",IF(OR(AF19="?",OR(ISNUMBER(SEARCH(" worcestershire ",$AA19)),ISNUMBER(SEARCH(" bloody mary ",$AA19)))),"?","")))),"")</f>
        <v/>
      </c>
      <c r="F19" s="233" t="str">
        <f>IF(19=19,IF($B19="","",AI19),"")</f>
        <v/>
      </c>
      <c r="G19" s="233" t="str">
        <f>IF(19=19,IF($B19="","",IF(OR(TRIM($AA19)="puree pate d amande",TRIM($AA19)="pate puree d amande",TRIM($AA19)="puree d amande",TRIM($AA19)="pate d amande",TRIM($AA19)="pate puree de noisette",TRIM($AA19)="puree pate de noisette",TRIM($AA19)="puree de noisette",TRIM($AA19)="pate de noisette"),"",IF(OR(AM19="X",OR(ISNUMBER(SEARCH(" macaron ",$AA19)),ISNUMBER(SEARCH(" egg nog ",$AA19)),ISNUMBER(SEARCH(" eggnog ",$AA19)))),"X",IF(OR(AM19="?",OR(ISNUMBER(SEARCH(" biscuit decoratif ",$AA19)),ISNUMBER(SEARCH(" whisky sour ",$AA19)),ISNUMBER(SEARCH(" whiskey sour ",$AA19)),ISNUMBER(SEARCH(" amaretto sour ",$AA19)),ISNUMBER(SEARCH(" pisco sour ",$AA19)),ISNUMBER(SEARCH(" clover club ",$AA19)),ISNUMBER(SEARCH(" ramos gin fizz ",$AA19)))),"?","")))),"")</f>
        <v/>
      </c>
      <c r="H19" s="233" t="str">
        <f>IF(19=19,IF($B19="","",IF(ISNUMBER(SEARCH(" colin ",$AA19)),"X",IF(AZ19="X","X",IF(OR(AZ19="?",OR(ISNUMBER(SEARCH(" worcestershire ",$AA19)),ISNUMBER(SEARCH(" bloody mary ",$AA19)))),"?","")))),"")</f>
        <v/>
      </c>
      <c r="I19" s="233" t="str">
        <f>IF(19=19,IF($B19="","",BB19),"")</f>
        <v/>
      </c>
      <c r="J19" s="233" t="str">
        <f>IF(19=19,IF($B19="","",BF19),"")</f>
        <v/>
      </c>
      <c r="K19" s="233" t="str">
        <f>IF(19=19,IF($B19="","",IF(OR(OR(TRIM($AA19)="puree pate d amande",TRIM($AA19)="pate puree d amande",TRIM($AA19)="puree d amande",TRIM($AA19)="pate d amande",TRIM($AA19)="pate puree de noisette",TRIM($AA19)="puree pate de noisette",TRIM($AA19)="puree de noisette",TRIM($AA19)="pate de noisette"),OR(TRIM($AA19)="beurre puree d arachide",TRIM($AA19)="beurre d arachide",TRIM($AA19)="puree d arachide"),OR(TRIM($AA19)="tahini puree de sesame",TRIM($AA19)="tahini",TRIM($AA19)="puree de sesame")),"",IF(OR(TRIM($AA19)="creme de cassis",TRIM($AA19)="creme de menthe",TRIM($AA19)="creme de cacao",TRIM($AA19)="creme de mure",TRIM($AA19)="creme de framboise",TRIM($AA19)="creme de peche",TRIM($AA19)="creme de banane",TRIM($AA19)="liqueur creme de coco",TRIM($AA19)="creme de coco",TRIM($AA19)="spiritueux aromatise arrange creme de spiritueux"),"?",IF(OR(BM19="X",OR(ISNUMBER(SEARCH(" baileys ",$AA19)),ISNUMBER(SEARCH(" irish cream ",$AA19)),ISNUMBER(SEARCH(" creme de whisky ",$AA19)))),"X",IF(OR(BM19="?",OR(OR(TRIM($AA19)="creme de cassis",TRIM($AA19)="creme de menthe",TRIM($AA19)="creme de cacao",TRIM($AA19)="creme de mure",TRIM($AA19)="creme de framboise",TRIM($AA19)="creme de peche",TRIM($AA19)="creme de banane",TRIM($AA19)="liqueur creme de coco",TRIM($AA19)="creme de coco",TRIM($AA19)="spiritueux aromatise arrange creme de spiritueux"),ISNUMBER(SEARCH(" advocaat ",$AA19)),ISNUMBER(SEARCH(" liqueur aux oeufs ",$AA19)),ISNUMBER(SEARCH(" liqueur de chocolat ",$AA19)),ISNUMBER(SEARCH(" liqueur de caramel ",$AA19)),ISNUMBER(SEARCH(" sauce nappage chocolat ",$AA19)),ISNUMBER(SEARCH(" biscuit decoratif ",$AA19)),ISNUMBER(SEARCH(" white russian ",$AA19)),ISNUMBER(SEARCH(" grasshopper ",$AA19)),ISNUMBER(SEARCH(" irish coffee ",$AA19)),ISNUMBER(SEARCH(" ramos gin fizz ",$AA19)),ISNUMBER(SEARCH(" egg nog ",$AA19)),ISNUMBER(SEARCH(" eggnog ",$AA19)))),"?",""))))),"")</f>
        <v/>
      </c>
      <c r="L19" s="233" t="str">
        <f>IF(19=19,IF($B19="","",IF(OR(BQ19="X",OR(OR(TRIM($AA19)="puree pate d amande",TRIM($AA19)="pate puree d amande",TRIM($AA19)="puree d amande",TRIM($AA19)="pate d amande",TRIM($AA19)="pate puree de noisette",TRIM($AA19)="puree pate de noisette",TRIM($AA19)="puree de noisette",TRIM($AA19)="pate de noisette"),ISNUMBER(SEARCH(" macaron ",$AA19)),TRIM($AA19)="fruits a coque")),"X",IF(OR(BQ19="?",OR(ISNUMBER(SEARCH(" sirop d orgeat ",$AA19)),ISNUMBER(SEARCH(" orgeat ",$AA19)),ISNUMBER(SEARCH(" amaretto ",$AA19)))),"?",""))),"")</f>
        <v>X</v>
      </c>
      <c r="M19" s="233" t="str">
        <f>IF(19=19,IF($B19="","",IF(OR(OR(TRIM($AA19)="puree pate d amande",TRIM($AA19)="pate puree d amande",TRIM($AA19)="puree d amande",TRIM($AA19)="pate d amande",TRIM($AA19)="pate puree de noisette",TRIM($AA19)="puree pate de noisette",TRIM($AA19)="puree de noisette",TRIM($AA19)="pate de noisette"),OR(TRIM($AA19)="tahini puree de sesame",TRIM($AA19)="tahini",TRIM($AA19)="puree de sesame")),"",IF(BT19="X","X",IF(OR(BT19="?",ISNUMBER(SEARCH(" bloody mary ",$AA19))),"?","")))),"")</f>
        <v/>
      </c>
      <c r="N19" s="233" t="str">
        <f>IF(19=19,IF($B19="","",IF(OR(OR(TRIM($AA19)="puree pate d amande",TRIM($AA19)="pate puree d amande",TRIM($AA19)="puree d amande",TRIM($AA19)="pate d amande",TRIM($AA19)="pate puree de noisette",TRIM($AA19)="puree pate de noisette",TRIM($AA19)="puree de noisette",TRIM($AA19)="pate de noisette"),OR(TRIM($AA19)="tahini puree de sesame",TRIM($AA19)="tahini",TRIM($AA19)="puree de sesame")),"",IF(BW19="X","X",IF(OR(BW19="?",ISNUMBER(SEARCH(" bloody mary ",$AA19))),"?","")))),"")</f>
        <v/>
      </c>
      <c r="O19" s="233" t="str">
        <f>IF(19=19,IF($B19="","",BZ19),"")</f>
        <v/>
      </c>
      <c r="P19" s="233" t="str">
        <f>IF(19=19,IF($B19="","",CC19),"")</f>
        <v/>
      </c>
      <c r="Q19" s="233" t="str">
        <f>IF(19=19,IF($B19="","",CF19),"")</f>
        <v/>
      </c>
      <c r="R19" s="233" t="str">
        <f>IF(19=19,IF($B19="","",IF(TRIM($AA19)="fruits a coque","",IF(CL19="X","X",IF(OR(CL19="?",OR(ISNUMBER(SEARCH(" clamato ",$AA19)),ISNUMBER(SEARCH(" bloody caesar ",$AA19)))),"?","")))),"")</f>
        <v/>
      </c>
      <c r="S19" s="234" t="str">
        <f>IF(19=19,IF($B19="","",IF(E19="?",""&amp;"Céréales contenant du gluten","")&amp;IF(F19="?",IF(COUNTIF($E19:$E19,"~?")&gt;0,", ","")&amp;"Crustacés","")&amp;IF(G19="?",IF(COUNTIF($E19:$F19,"~?")&gt;0,", ","")&amp;"Œufs","")&amp;IF(H19="?",IF(COUNTIF($E19:$G19,"~?")&gt;0,", ","")&amp;"Poissons","")&amp;IF(I19="?",IF(COUNTIF($E19:$H19,"~?")&gt;0,", ","")&amp;"Arachides","")&amp;IF(J19="?",IF(COUNTIF($E19:$I19,"~?")&gt;0,", ","")&amp;"Soja","")&amp;IF(K19="?",IF(COUNTIF($E19:$J19,"~?")&gt;0,", ","")&amp;"Lait","")&amp;IF(L19="?",IF(COUNTIF($E19:$K19,"~?")&gt;0,", ","")&amp;"Fruits à coque","")&amp;IF(M19="?",IF(COUNTIF($E19:$L19,"~?")&gt;0,", ","")&amp;"Céleri","")&amp;IF(N19="?",IF(COUNTIF($E19:$M19,"~?")&gt;0,", ","")&amp;"Moutarde","")&amp;IF(O19="?",IF(COUNTIF($E19:$N19,"~?")&gt;0,", ","")&amp;"Sésame","")&amp;IF(P19="?",IF(COUNTIF($E19:$O19,"~?")&gt;0,", ","")&amp;"Sulfites","")&amp;IF(Q19="?",IF(COUNTIF($E19:$P19,"~?")&gt;0,", ","")&amp;"Lupin","")&amp;IF(R19="?",IF(COUNTIF($E19:$Q19,"~?")&gt;0,", ","")&amp;"Mollusques","")),"")</f>
        <v/>
      </c>
      <c r="U19" s="209" t="str">
        <f>IF(19=19,IF($B19="","",$B19),"")</f>
        <v>Purée / pâte d'amande</v>
      </c>
      <c r="V19" s="209" t="str">
        <f>IF(19=19,LOWER(CLEAN(SUBSTITUTE(SUBSTITUTE(SUBSTITUTE(SUBSTITUTE($U19,CHAR(160)," ")," "," "),CHAR(10)," "),CHAR(13)," "))),"")</f>
        <v>purée / pâte d'amande</v>
      </c>
      <c r="W19" s="209" t="str">
        <f>IF(19=19,SUBSTITUTE(SUBSTITUTE(SUBSTITUTE(SUBSTITUTE(SUBSTITUTE(SUBSTITUTE(SUBSTITUTE(SUBSTITUTE(SUBSTITUTE(SUBSTITUTE(SUBSTITUTE(SUBSTITUTE($V19,"œ","oe"),"æ","ae"),"à","a"),"á","a"),"â","a"),"ä","a"),"ã","a"),"ç","c"),"è","e"),"é","e"),"ê","e"),"ë","e"),"")</f>
        <v>puree / pate d'amande</v>
      </c>
      <c r="X19" s="209" t="str">
        <f>IF(19=19,SUBSTITUTE(SUBSTITUTE(SUBSTITUTE(SUBSTITUTE(SUBSTITUTE(SUBSTITUTE(SUBSTITUTE(SUBSTITUTE(SUBSTITUTE(SUBSTITUTE(SUBSTITUTE(SUBSTITUTE(SUBSTITUTE(SUBSTITUTE(SUBSTITUTE(SUBSTITUTE($W19,"ì","i"),"í","i"),"î","i"),"ï","i"),"ñ","n"),"ò","o"),"ó","o"),"ô","o"),"ö","o"),"õ","o"),"ù","u"),"ú","u"),"û","u"),"ü","u"),"ý","y"),"ÿ","y"),"")</f>
        <v>puree / pate d'amande</v>
      </c>
      <c r="Y19" s="209" t="str">
        <f>IF(19=19,SUBSTITUTE(SUBSTITUTE(SUBSTITUTE(SUBSTITUTE(SUBSTITUTE(SUBSTITUTE(SUBSTITUTE(SUBSTITUTE(SUBSTITUTE(SUBSTITUTE(SUBSTITUTE(SUBSTITUTE(SUBSTITUTE(SUBSTITUTE($X19,"’"," "),"`"," "),"–"," "),"—"," "),"-"," "),"'"," "),"/"," "),"_"," "),","," "),"."," "),"("," "),")"," "),";"," "),":"," "),"")</f>
        <v>puree   pate d amande</v>
      </c>
      <c r="Z19" s="209" t="str">
        <f>IF(19=19,SUBSTITUTE(SUBSTITUTE(SUBSTITUTE(SUBSTITUTE(SUBSTITUTE(SUBSTITUTE(SUBSTITUTE(SUBSTITUTE(SUBSTITUTE(SUBSTITUTE(SUBSTITUTE(SUBSTITUTE(SUBSTITUTE(SUBSTITUTE(SUBSTITUTE($Y19,"!"," "),"?"," "),"+"," "),"*"," "),"&amp;"," "),"["," "),"]"," "),"{"," "),"}"," "),"%"," "),"="," "),"\"," "),"|"," "),"&lt;"," "),"&gt;"," "),"")</f>
        <v>puree   pate d amande</v>
      </c>
      <c r="AA19" s="209" t="str">
        <f>IF(19=19," "&amp;TRIM(SUBSTITUTE(SUBSTITUTE(SUBSTITUTE(SUBSTITUTE(SUBSTITUTE(SUBSTITUTE($Z19,CHAR(34)," "),"  "," "),"  "," "),"  "," "),"  "," "),"  "," "))&amp;" ","")</f>
        <v xml:space="preserve"> puree pate d amande </v>
      </c>
      <c r="AB19" s="209">
        <f>IF(19=19,IF($U19="","",SUMPRODUCT(--ISNUMBER(SEARCH(" "&amp;$CR$2:$CR$101&amp;" ",$AD19)))),"")</f>
        <v>0</v>
      </c>
      <c r="AC19" s="209">
        <f>IF(19=19,IF($U19="","",SUMPRODUCT(--ISNUMBER(SEARCH(" "&amp;$CR$102:$CR$151&amp;" ",$AD19)))),"")</f>
        <v>0</v>
      </c>
      <c r="AD19" s="209" t="str">
        <f t="shared" si="1"/>
        <v xml:space="preserve"> puree pate d amande </v>
      </c>
      <c r="AE19" s="209">
        <f t="shared" si="2"/>
        <v>0</v>
      </c>
      <c r="AF19" s="209" t="str">
        <f>IF(19=19,IF($U19="","",IF(SUM(AB19:AC19)+SUMPRODUCT(--ISNUMBER(SEARCH(" "&amp;$CR$2418:$CR$2420&amp;" ",$AD19)))&gt;0,"X",IF(AE19&gt;0,"?",""))),"")</f>
        <v/>
      </c>
      <c r="AG19" s="209">
        <f>IF(19=19,IF($U19="","",SUMPRODUCT(--ISNUMBER(SEARCH(" "&amp;$CR$206:$CR$305&amp;" ",$AA19)))),"")</f>
        <v>0</v>
      </c>
      <c r="AH19" s="209">
        <f>IF(19=19,IF($U19="","",SUMPRODUCT(--ISNUMBER(SEARCH(" "&amp;$CR$306:$CR$340&amp;" ",$AA19)))),"")</f>
        <v>0</v>
      </c>
      <c r="AI19" s="209" t="str">
        <f>IF(19=19,IF($U19="","",IF((SUM(AG19:AH19))-(0)&gt;0,"X",IF((0)-(0)&gt;0,"?",""))),"")</f>
        <v/>
      </c>
      <c r="AJ19" s="209">
        <f>IF(19=19,IF($U19="","",SUMPRODUCT(--ISNUMBER(SEARCH(" "&amp;$CR$341:$CR$398&amp;" ",$AA19)))),"")</f>
        <v>0</v>
      </c>
      <c r="AK19" s="209">
        <f>IF(19=19,IF($U19="","",SUMPRODUCT(--ISNUMBER(SEARCH(" "&amp;$CR$399:$CR$426&amp;" ",$AL19)))+SUMPRODUCT(--ISNUMBER(SEARCH(" "&amp;$CR$2440:$CR$2453&amp;" ",$AL19)))),"")</f>
        <v>1</v>
      </c>
      <c r="AL19" s="209" t="str">
        <f>IF(19=19,IF($U19="","",SUBSTITUTE(SUBSTITUTE(SUBSTITUTE(SUBSTITUTE(SUBSTITUTE(SUBSTITUTE(SUBSTITUTE(SUBSTITUTE(SUBSTITUTE(SUBSTITUTE(SUBSTITUTE(SUBSTITUTE(SUBSTITUTE(SUBSTITUTE($AA19,"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puree pate d amande </v>
      </c>
      <c r="AM19" s="209" t="str">
        <f>IF(19=19,IF($U19="","",IF(AJ19&gt;0,"X",IF(AK19&gt;0,"?",""))),"")</f>
        <v>?</v>
      </c>
      <c r="AN19" s="209">
        <f>IF(19=19,IF($U19="","",SUMPRODUCT(--ISNUMBER(SEARCH(" "&amp;$CR$436:$CR$535&amp;" ",$AX19)))),"")</f>
        <v>0</v>
      </c>
      <c r="AO19" s="209">
        <f>IF(19=19,IF($U19="","",SUMPRODUCT(--ISNUMBER(SEARCH(" "&amp;$CR$536:$CR$635&amp;" ",$AX19)))),"")</f>
        <v>0</v>
      </c>
      <c r="AP19" s="209">
        <f>IF(19=19,IF($U19="","",SUMPRODUCT(--ISNUMBER(SEARCH(" "&amp;$CR$636:$CR$735&amp;" ",$AX19)))),"")</f>
        <v>0</v>
      </c>
      <c r="AQ19" s="209">
        <f>IF(19=19,IF($U19="","",SUMPRODUCT(--ISNUMBER(SEARCH(" "&amp;$CR$736:$CR$835&amp;" ",$AX19)))),"")</f>
        <v>0</v>
      </c>
      <c r="AR19" s="209">
        <f>IF(19=19,IF($U19="","",SUMPRODUCT(--ISNUMBER(SEARCH(" "&amp;$CR$836:$CR$935&amp;" ",$AX19)))),"")</f>
        <v>0</v>
      </c>
      <c r="AS19" s="209">
        <f>IF(19=19,IF($U19="","",SUMPRODUCT(--ISNUMBER(SEARCH(" "&amp;$CR$936:$CR$1035&amp;" ",$AX19)))),"")</f>
        <v>0</v>
      </c>
      <c r="AT19" s="209">
        <f>IF(19=19,IF($U19="","",SUMPRODUCT(--ISNUMBER(SEARCH(" "&amp;$CR$1036:$CR$1135&amp;" ",$AX19)))),"")</f>
        <v>0</v>
      </c>
      <c r="AU19" s="209">
        <f>IF(19=19,IF($U19="","",SUMPRODUCT(--ISNUMBER(SEARCH(" "&amp;$CR$1136:$CR$1235&amp;" ",$AX19)))),"")</f>
        <v>0</v>
      </c>
      <c r="AV19" s="209">
        <f>IF(19=19,IF($U19="","",SUMPRODUCT(--ISNUMBER(SEARCH(" "&amp;$CR$1236:$CR$1335&amp;" ",$AX19)))),"")</f>
        <v>0</v>
      </c>
      <c r="AW19" s="209">
        <f>IF(19=19,IF($U19="","",SUMPRODUCT(--ISNUMBER(SEARCH(" "&amp;$CR$1336:$CR$1363&amp;" ",$AX19)))),"")</f>
        <v>0</v>
      </c>
      <c r="AX19" s="209" t="str">
        <f>IF(19=19,IF($U19="","",SUBSTITUTE(SUBSTITUTE(SUBSTITUTE(SUBSTITUTE(SUBSTITUTE(SUBSTITUTE(SUBSTITUTE(SUBSTITUTE(SUBSTITUTE($AA19,"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puree pate d amande </v>
      </c>
      <c r="AY19" s="209">
        <f>IF(19=19,IF($U19="","",SUMPRODUCT(--ISNUMBER(SEARCH(" "&amp;$CR$1373:$CR$1383&amp;" ",$AX19)))),"")</f>
        <v>0</v>
      </c>
      <c r="AZ19" s="209" t="str">
        <f>IF(19=19,IF($U19="","",IF(SUM(AN19:AW19)+SUMPRODUCT(--ISNUMBER(SEARCH(" "&amp;$CR$2421:$CR$2422&amp;" ",$AX19)))&gt;0,"X",IF(AY19&gt;0,"?",""))),"")</f>
        <v/>
      </c>
      <c r="BA19" s="209">
        <f>IF(19=19,IF($U19="","",SUMPRODUCT(--ISNUMBER(SEARCH(" "&amp;$CR$1384:$CR$1404&amp;" ",$AA19)))),"")</f>
        <v>0</v>
      </c>
      <c r="BB19" s="209" t="str">
        <f>IF(19=19,IF($U19="","",IF((BA19)-(0)&gt;0,"X",IF((0)-(0)&gt;0,"?",""))),"")</f>
        <v/>
      </c>
      <c r="BC19" s="209">
        <f>IF(19=19,IF($U19="","",SUMPRODUCT(--ISNUMBER(SEARCH(" "&amp;$CR$1405:$CR$1442&amp;" ",$BD19)))),"")</f>
        <v>0</v>
      </c>
      <c r="BD19" s="209" t="str">
        <f>IF(19=19,IF($U19="","",SUBSTITUTE(SUBSTITUTE($AA19," "&amp;$CR$1443&amp;" "," ")," "&amp;$CR$1444&amp;" "," ")),"")</f>
        <v xml:space="preserve"> puree pate d amande </v>
      </c>
      <c r="BE19" s="209">
        <f>IF(19=19,IF($U19="","",SUMPRODUCT(--ISNUMBER(SEARCH(" "&amp;$CR$1445:$CR$1455&amp;" ",$BD19)))),"")</f>
        <v>0</v>
      </c>
      <c r="BF19" s="209" t="str">
        <f>IF(19=19,IF($U19="","",IF(BC19&gt;0,"X",IF(BE19&gt;0,"?",""))),"")</f>
        <v/>
      </c>
      <c r="BG19" s="209">
        <f>IF(19=19,IF($U19="","",SUMPRODUCT(--ISNUMBER(SEARCH(" "&amp;$CR$1456:$CR$1555&amp;" ",$BJ19)))),"")</f>
        <v>0</v>
      </c>
      <c r="BH19" s="209">
        <f>IF(19=19,IF($U19="","",SUMPRODUCT(--ISNUMBER(SEARCH(" "&amp;$CR$1556:$CR$1655&amp;" ",$BJ19)))),"")</f>
        <v>0</v>
      </c>
      <c r="BI19" s="209">
        <f>IF(19=19,IF($U19="","",SUMPRODUCT(--ISNUMBER(SEARCH(" "&amp;$CR$1656:$CR$1739&amp;" ",$BJ19)))),"")</f>
        <v>0</v>
      </c>
      <c r="BJ19" s="209" t="str">
        <f>IF(19=19,IF($U19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19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puree pate d amande </v>
      </c>
      <c r="BK19" s="209">
        <f>IF(19=19,IF($U19="","",SUMPRODUCT(--ISNUMBER(SEARCH(" "&amp;$CR$1790:$CR$1869&amp;" ",$BL19)))+SUMPRODUCT(--ISNUMBER(SEARCH(" "&amp;$CR$2440:$CR$2453&amp;" ",$BL19)))),"")</f>
        <v>1</v>
      </c>
      <c r="BL19" s="209" t="str">
        <f>IF(19=19,IF($U19="","",SUBSTITUTE(SUBSTITUTE(SUBSTITUTE(SUBSTITUTE(SUBSTITUTE(SUBSTITUTE(SUBSTITUTE(SUBSTITUTE(SUBSTITUTE(SUBSTITUTE(SUBSTITUTE(SUBSTITUTE(SUBSTITUTE($BJ19,"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puree pate d amande </v>
      </c>
      <c r="BM19" s="209" t="str">
        <f>IF(19=19,IF($U19="","",IF(SUM(BG19:BI19)+SUMPRODUCT(--ISNUMBER(SEARCH(" "&amp;$CR$2423:$CR$2424&amp;" ",$BJ19)))&gt;0,"X",IF(BK19&gt;0,"?",""))),"")</f>
        <v>?</v>
      </c>
      <c r="BN19" s="209">
        <f>IF(19=19,IF($U19="","",SUMPRODUCT(--ISNUMBER(SEARCH(" "&amp;$CR$1879:$CR$1936&amp;" ",$BO19)))),"")</f>
        <v>2</v>
      </c>
      <c r="BO19" s="209" t="str">
        <f>IF(19=19,IF($U19="","",SUBSTITUTE(SUBSTITUTE(SUBSTITUTE(SUBSTITUTE(SUBSTITUTE(SUBSTITUTE(SUBSTITUTE(SUBSTITUTE(SUBSTITUTE(SUBSTITUTE(SUBSTITUTE(SUBSTITUTE(SUBSTITUTE(SUBSTITUTE(SUBSTITUTE(SUBSTITUTE(SUBSTITUTE(SUBSTITUTE(SUBSTITUTE(SUBSTITUTE(SUBSTITUTE(SUBSTITUTE(SUBSTITUTE($AA19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puree pate d amande </v>
      </c>
      <c r="BP19" s="209">
        <f>IF(19=19,IF($U19="","",SUMPRODUCT(--ISNUMBER(SEARCH(" "&amp;$CR$1960:$CR$1976&amp;" ",$BO19)))),"")</f>
        <v>0</v>
      </c>
      <c r="BQ19" s="209" t="str">
        <f>IF(19=19,IF($U19="","",IF(BN19&gt;0,"X",IF(BP19&gt;0,"?",""))),"")</f>
        <v>X</v>
      </c>
      <c r="BR19" s="209">
        <f>IF(19=19,IF($U19="","",SUMPRODUCT(--ISNUMBER(SEARCH(" "&amp;$CR$1977:$CR$1990&amp;" ",$AA19)))),"")</f>
        <v>0</v>
      </c>
      <c r="BS19" s="209">
        <f>IF(19=19,IF($U19="","",SUMPRODUCT(--ISNUMBER(SEARCH(" "&amp;$CR$1991:$CR$2005&amp;" ",$AA19)))),"")</f>
        <v>1</v>
      </c>
      <c r="BT19" s="209" t="str">
        <f>IF(19=19,IF($U19="","",IF((BR19)-(0)&gt;0,"X",IF((BS19)-(0)&gt;0,"?",""))),"")</f>
        <v>?</v>
      </c>
      <c r="BU19" s="209">
        <f>IF(19=19,IF($U19="","",SUMPRODUCT(--ISNUMBER(SEARCH(" "&amp;$CR$2006:$CR$2023&amp;" ",$AA19)))),"")</f>
        <v>0</v>
      </c>
      <c r="BV19" s="209">
        <f>IF(19=19,IF($U19="","",SUMPRODUCT(--ISNUMBER(SEARCH(" "&amp;$CR$2024:$CR$2038&amp;" ",$AA19)))),"")</f>
        <v>1</v>
      </c>
      <c r="BW19" s="209" t="str">
        <f>IF(19=19,IF($U19="","",IF((BU19)-(0)&gt;0,"X",IF((BV19)-(0)&gt;0,"?",""))),"")</f>
        <v>?</v>
      </c>
      <c r="BX19" s="209">
        <f>IF(19=19,IF($U19="","",SUMPRODUCT(--ISNUMBER(SEARCH(" "&amp;$CR$2039:$CR$2057&amp;" ",$AA19)))),"")</f>
        <v>0</v>
      </c>
      <c r="BY19" s="209">
        <f>IF(19=19,IF($U19="","",SUMPRODUCT(--ISNUMBER(SEARCH(" "&amp;$CR$2058:$CR$2072&amp;" ",$AA19)))),"")</f>
        <v>0</v>
      </c>
      <c r="BZ19" s="209" t="str">
        <f>IF(19=19,IF($U19="","",IF((BX19)-(0)&gt;0,"X",IF((BY19)-(0)&gt;0,"?",""))),"")</f>
        <v/>
      </c>
      <c r="CA19" s="209">
        <f>IF(19=19,IF($U19="","",SUMPRODUCT(--ISNUMBER(SEARCH(" "&amp;$CR$2073:$CR$2093&amp;" ",$AA19)))),"")</f>
        <v>0</v>
      </c>
      <c r="CB19" s="209">
        <f>IF(19=19,IF($U19="","",SUMPRODUCT(--ISNUMBER(SEARCH(" "&amp;$CR$2094:$CR$2133&amp;" ",SUBSTITUTE(SUBSTITUTE($AA19," "&amp;$CR$1367&amp;" "," ")," "&amp;$CR$1366&amp;" "," "))))+--ISNUMBER(SEARCH("poiré",$V19))),"")</f>
        <v>0</v>
      </c>
      <c r="CC19" s="209" t="str">
        <f>IF(19=19,IF($U19="","",IF(OR(CA19&gt;0,ISNUMBER(SEARCH(" vinaigre de vin ",$AA19)),ISNUMBER(SEARCH(" vinaigre au vin ",$AA19))),"X",IF(CB19&gt;0,"?",""))),"")</f>
        <v/>
      </c>
      <c r="CD19" s="209">
        <f>IF(19=19,IF($U19="","",SUMPRODUCT(--ISNUMBER(SEARCH(" "&amp;$CR$2134:$CR$2146&amp;" ",$AA19)))),"")</f>
        <v>0</v>
      </c>
      <c r="CE19" s="209">
        <f>IF(19=19,IF($U19="","",SUMPRODUCT(--ISNUMBER(SEARCH(" "&amp;$CR$2147:$CR$2152&amp;" ",$AA19)))),"")</f>
        <v>0</v>
      </c>
      <c r="CF19" s="209" t="str">
        <f>IF(19=19,IF($U19="","",IF((CD19)-(0)&gt;0,"X",IF((CE19)-(0)&gt;0,"?",""))),"")</f>
        <v/>
      </c>
      <c r="CG19" s="209">
        <f>IF(19=19,IF($U19="","",SUMPRODUCT(--ISNUMBER(SEARCH(" "&amp;$CR$2153:$CR$2252&amp;" ",$CJ19)))),"")</f>
        <v>0</v>
      </c>
      <c r="CH19" s="209">
        <f>IF(19=19,IF($U19="","",SUMPRODUCT(--ISNUMBER(SEARCH(" "&amp;$CR$2253:$CR$2352&amp;" ",$CJ19)))),"")</f>
        <v>0</v>
      </c>
      <c r="CI19" s="209">
        <f>IF(19=19,IF($U19="","",SUMPRODUCT(--ISNUMBER(SEARCH(" "&amp;$CR$2353:$CR$2395&amp;" ",$CJ19)))),"")</f>
        <v>0</v>
      </c>
      <c r="CJ19" s="209" t="str">
        <f>IF(19=19,IF($U19="","",SUBSTITUTE(SUBSTITUTE(SUBSTITUTE(SUBSTITUTE(SUBSTITUTE(SUBSTITUTE(SUBSTITUTE(SUBSTITUTE(SUBSTITUTE(SUBSTITUTE(SUBSTITUTE(SUBSTITUTE(SUBSTITUTE(SUBSTITUTE(SUBSTITUTE(SUBSTITUTE($AA19,"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puree pate d amande </v>
      </c>
      <c r="CK19" s="209">
        <f>IF(19=19,IF($U19="","",SUMPRODUCT(--ISNUMBER(SEARCH(" "&amp;$CR$2412:$CR$2416&amp;" ",$CJ19)))),"")</f>
        <v>0</v>
      </c>
      <c r="CL19" s="209" t="str">
        <f>IF(19=19,IF($U19="","",IF(SUM(CG19:CI19)&gt;0,"X",IF(CK19&gt;0,"?",""))),"")</f>
        <v/>
      </c>
      <c r="CM19" s="210"/>
      <c r="CN19" s="213" t="s">
        <v>1004</v>
      </c>
      <c r="CO19" s="213" t="s">
        <v>878</v>
      </c>
      <c r="CP19" s="213" t="s">
        <v>879</v>
      </c>
      <c r="CQ19" s="213" t="s">
        <v>1005</v>
      </c>
      <c r="CR19" s="213" t="s">
        <v>1005</v>
      </c>
      <c r="CS19" s="213" t="s">
        <v>881</v>
      </c>
      <c r="CT19" s="213" t="s">
        <v>882</v>
      </c>
      <c r="CU19" s="213" t="s">
        <v>883</v>
      </c>
      <c r="CV19" s="214" t="s">
        <v>884</v>
      </c>
      <c r="CX19" s="212">
        <v>1</v>
      </c>
    </row>
    <row r="20" spans="1:102" ht="21" customHeight="1">
      <c r="A20" s="229">
        <v>14</v>
      </c>
      <c r="B20" s="230" t="s">
        <v>6484</v>
      </c>
      <c r="C20" s="231" t="str">
        <f t="shared" si="0"/>
        <v>Pâte / purée de noisette *</v>
      </c>
      <c r="D20" s="232" t="str">
        <f>IF(20=20,IF($B20="","",IF(E20="X",""&amp;"Céréales contenant du gluten","")&amp;IF(F20="X",IF(COUNTIF($E20:$E20,"X")&gt;0,", ","")&amp;"Crustacés","")&amp;IF(G20="X",IF(COUNTIF($E20:$F20,"X")&gt;0,", ","")&amp;"Œufs","")&amp;IF(H20="X",IF(COUNTIF($E20:$G20,"X")&gt;0,", ","")&amp;"Poissons","")&amp;IF(I20="X",IF(COUNTIF($E20:$H20,"X")&gt;0,", ","")&amp;"Arachides","")&amp;IF(J20="X",IF(COUNTIF($E20:$I20,"X")&gt;0,", ","")&amp;"Soja","")&amp;IF(K20="X",IF(COUNTIF($E20:$J20,"X")&gt;0,", ","")&amp;"Lait","")&amp;IF(L20="X",IF(COUNTIF($E20:$K20,"X")&gt;0,", ","")&amp;"Fruits à coque","")&amp;IF(M20="X",IF(COUNTIF($E20:$L20,"X")&gt;0,", ","")&amp;"Céleri","")&amp;IF(N20="X",IF(COUNTIF($E20:$M20,"X")&gt;0,", ","")&amp;"Moutarde","")&amp;IF(O20="X",IF(COUNTIF($E20:$N20,"X")&gt;0,", ","")&amp;"Sésame","")&amp;IF(P20="X",IF(COUNTIF($E20:$O20,"X")&gt;0,", ","")&amp;"Sulfites","")&amp;IF(Q20="X",IF(COUNTIF($E20:$P20,"X")&gt;0,", ","")&amp;"Lupin","")&amp;IF(R20="X",IF(COUNTIF($E20:$Q20,"X")&gt;0,", ","")&amp;"Mollusques","")),"")</f>
        <v>Fruits à coque</v>
      </c>
      <c r="E20" s="233" t="str">
        <f>IF(20=20,IF($B20="","",IF(OR(ISNUMBER(SEARCH(" biere sans gluten ",$AA20)),ISNUMBER(SEARCH(" gluten free beer ",$AA20)),ISNUMBER(SEARCH(" beer gluten free ",$AA20))),"",IF(AF20="X","X",IF(OR(AF20="?",OR(ISNUMBER(SEARCH(" worcestershire ",$AA20)),ISNUMBER(SEARCH(" bloody mary ",$AA20)))),"?","")))),"")</f>
        <v/>
      </c>
      <c r="F20" s="233" t="str">
        <f>IF(20=20,IF($B20="","",AI20),"")</f>
        <v/>
      </c>
      <c r="G20" s="233" t="str">
        <f>IF(20=20,IF($B20="","",IF(OR(TRIM($AA20)="puree pate d amande",TRIM($AA20)="pate puree d amande",TRIM($AA20)="puree d amande",TRIM($AA20)="pate d amande",TRIM($AA20)="pate puree de noisette",TRIM($AA20)="puree pate de noisette",TRIM($AA20)="puree de noisette",TRIM($AA20)="pate de noisette"),"",IF(OR(AM20="X",OR(ISNUMBER(SEARCH(" macaron ",$AA20)),ISNUMBER(SEARCH(" egg nog ",$AA20)),ISNUMBER(SEARCH(" eggnog ",$AA20)))),"X",IF(OR(AM20="?",OR(ISNUMBER(SEARCH(" biscuit decoratif ",$AA20)),ISNUMBER(SEARCH(" whisky sour ",$AA20)),ISNUMBER(SEARCH(" whiskey sour ",$AA20)),ISNUMBER(SEARCH(" amaretto sour ",$AA20)),ISNUMBER(SEARCH(" pisco sour ",$AA20)),ISNUMBER(SEARCH(" clover club ",$AA20)),ISNUMBER(SEARCH(" ramos gin fizz ",$AA20)))),"?","")))),"")</f>
        <v/>
      </c>
      <c r="H20" s="233" t="str">
        <f>IF(20=20,IF($B20="","",IF(ISNUMBER(SEARCH(" colin ",$AA20)),"X",IF(AZ20="X","X",IF(OR(AZ20="?",OR(ISNUMBER(SEARCH(" worcestershire ",$AA20)),ISNUMBER(SEARCH(" bloody mary ",$AA20)))),"?","")))),"")</f>
        <v/>
      </c>
      <c r="I20" s="233" t="str">
        <f>IF(20=20,IF($B20="","",BB20),"")</f>
        <v/>
      </c>
      <c r="J20" s="233" t="str">
        <f>IF(20=20,IF($B20="","",BF20),"")</f>
        <v/>
      </c>
      <c r="K20" s="233" t="str">
        <f>IF(20=20,IF($B20="","",IF(OR(OR(TRIM($AA20)="puree pate d amande",TRIM($AA20)="pate puree d amande",TRIM($AA20)="puree d amande",TRIM($AA20)="pate d amande",TRIM($AA20)="pate puree de noisette",TRIM($AA20)="puree pate de noisette",TRIM($AA20)="puree de noisette",TRIM($AA20)="pate de noisette"),OR(TRIM($AA20)="beurre puree d arachide",TRIM($AA20)="beurre d arachide",TRIM($AA20)="puree d arachide"),OR(TRIM($AA20)="tahini puree de sesame",TRIM($AA20)="tahini",TRIM($AA20)="puree de sesame")),"",IF(OR(TRIM($AA20)="creme de cassis",TRIM($AA20)="creme de menthe",TRIM($AA20)="creme de cacao",TRIM($AA20)="creme de mure",TRIM($AA20)="creme de framboise",TRIM($AA20)="creme de peche",TRIM($AA20)="creme de banane",TRIM($AA20)="liqueur creme de coco",TRIM($AA20)="creme de coco",TRIM($AA20)="spiritueux aromatise arrange creme de spiritueux"),"?",IF(OR(BM20="X",OR(ISNUMBER(SEARCH(" baileys ",$AA20)),ISNUMBER(SEARCH(" irish cream ",$AA20)),ISNUMBER(SEARCH(" creme de whisky ",$AA20)))),"X",IF(OR(BM20="?",OR(OR(TRIM($AA20)="creme de cassis",TRIM($AA20)="creme de menthe",TRIM($AA20)="creme de cacao",TRIM($AA20)="creme de mure",TRIM($AA20)="creme de framboise",TRIM($AA20)="creme de peche",TRIM($AA20)="creme de banane",TRIM($AA20)="liqueur creme de coco",TRIM($AA20)="creme de coco",TRIM($AA20)="spiritueux aromatise arrange creme de spiritueux"),ISNUMBER(SEARCH(" advocaat ",$AA20)),ISNUMBER(SEARCH(" liqueur aux oeufs ",$AA20)),ISNUMBER(SEARCH(" liqueur de chocolat ",$AA20)),ISNUMBER(SEARCH(" liqueur de caramel ",$AA20)),ISNUMBER(SEARCH(" sauce nappage chocolat ",$AA20)),ISNUMBER(SEARCH(" biscuit decoratif ",$AA20)),ISNUMBER(SEARCH(" white russian ",$AA20)),ISNUMBER(SEARCH(" grasshopper ",$AA20)),ISNUMBER(SEARCH(" irish coffee ",$AA20)),ISNUMBER(SEARCH(" ramos gin fizz ",$AA20)),ISNUMBER(SEARCH(" egg nog ",$AA20)),ISNUMBER(SEARCH(" eggnog ",$AA20)))),"?",""))))),"")</f>
        <v/>
      </c>
      <c r="L20" s="233" t="str">
        <f>IF(20=20,IF($B20="","",IF(OR(BQ20="X",OR(OR(TRIM($AA20)="puree pate d amande",TRIM($AA20)="pate puree d amande",TRIM($AA20)="puree d amande",TRIM($AA20)="pate d amande",TRIM($AA20)="pate puree de noisette",TRIM($AA20)="puree pate de noisette",TRIM($AA20)="puree de noisette",TRIM($AA20)="pate de noisette"),ISNUMBER(SEARCH(" macaron ",$AA20)),TRIM($AA20)="fruits a coque")),"X",IF(OR(BQ20="?",OR(ISNUMBER(SEARCH(" sirop d orgeat ",$AA20)),ISNUMBER(SEARCH(" orgeat ",$AA20)),ISNUMBER(SEARCH(" amaretto ",$AA20)))),"?",""))),"")</f>
        <v>X</v>
      </c>
      <c r="M20" s="233" t="str">
        <f>IF(20=20,IF($B20="","",IF(OR(OR(TRIM($AA20)="puree pate d amande",TRIM($AA20)="pate puree d amande",TRIM($AA20)="puree d amande",TRIM($AA20)="pate d amande",TRIM($AA20)="pate puree de noisette",TRIM($AA20)="puree pate de noisette",TRIM($AA20)="puree de noisette",TRIM($AA20)="pate de noisette"),OR(TRIM($AA20)="tahini puree de sesame",TRIM($AA20)="tahini",TRIM($AA20)="puree de sesame")),"",IF(BT20="X","X",IF(OR(BT20="?",ISNUMBER(SEARCH(" bloody mary ",$AA20))),"?","")))),"")</f>
        <v/>
      </c>
      <c r="N20" s="233" t="str">
        <f>IF(20=20,IF($B20="","",IF(OR(OR(TRIM($AA20)="puree pate d amande",TRIM($AA20)="pate puree d amande",TRIM($AA20)="puree d amande",TRIM($AA20)="pate d amande",TRIM($AA20)="pate puree de noisette",TRIM($AA20)="puree pate de noisette",TRIM($AA20)="puree de noisette",TRIM($AA20)="pate de noisette"),OR(TRIM($AA20)="tahini puree de sesame",TRIM($AA20)="tahini",TRIM($AA20)="puree de sesame")),"",IF(BW20="X","X",IF(OR(BW20="?",ISNUMBER(SEARCH(" bloody mary ",$AA20))),"?","")))),"")</f>
        <v/>
      </c>
      <c r="O20" s="233" t="str">
        <f>IF(20=20,IF($B20="","",BZ20),"")</f>
        <v/>
      </c>
      <c r="P20" s="233" t="str">
        <f>IF(20=20,IF($B20="","",CC20),"")</f>
        <v/>
      </c>
      <c r="Q20" s="233" t="str">
        <f>IF(20=20,IF($B20="","",CF20),"")</f>
        <v/>
      </c>
      <c r="R20" s="233" t="str">
        <f>IF(20=20,IF($B20="","",IF(TRIM($AA20)="fruits a coque","",IF(CL20="X","X",IF(OR(CL20="?",OR(ISNUMBER(SEARCH(" clamato ",$AA20)),ISNUMBER(SEARCH(" bloody caesar ",$AA20)))),"?","")))),"")</f>
        <v/>
      </c>
      <c r="S20" s="234" t="str">
        <f>IF(20=20,IF($B20="","",IF(E20="?",""&amp;"Céréales contenant du gluten","")&amp;IF(F20="?",IF(COUNTIF($E20:$E20,"~?")&gt;0,", ","")&amp;"Crustacés","")&amp;IF(G20="?",IF(COUNTIF($E20:$F20,"~?")&gt;0,", ","")&amp;"Œufs","")&amp;IF(H20="?",IF(COUNTIF($E20:$G20,"~?")&gt;0,", ","")&amp;"Poissons","")&amp;IF(I20="?",IF(COUNTIF($E20:$H20,"~?")&gt;0,", ","")&amp;"Arachides","")&amp;IF(J20="?",IF(COUNTIF($E20:$I20,"~?")&gt;0,", ","")&amp;"Soja","")&amp;IF(K20="?",IF(COUNTIF($E20:$J20,"~?")&gt;0,", ","")&amp;"Lait","")&amp;IF(L20="?",IF(COUNTIF($E20:$K20,"~?")&gt;0,", ","")&amp;"Fruits à coque","")&amp;IF(M20="?",IF(COUNTIF($E20:$L20,"~?")&gt;0,", ","")&amp;"Céleri","")&amp;IF(N20="?",IF(COUNTIF($E20:$M20,"~?")&gt;0,", ","")&amp;"Moutarde","")&amp;IF(O20="?",IF(COUNTIF($E20:$N20,"~?")&gt;0,", ","")&amp;"Sésame","")&amp;IF(P20="?",IF(COUNTIF($E20:$O20,"~?")&gt;0,", ","")&amp;"Sulfites","")&amp;IF(Q20="?",IF(COUNTIF($E20:$P20,"~?")&gt;0,", ","")&amp;"Lupin","")&amp;IF(R20="?",IF(COUNTIF($E20:$Q20,"~?")&gt;0,", ","")&amp;"Mollusques","")),"")</f>
        <v/>
      </c>
      <c r="U20" s="209" t="str">
        <f>IF(20=20,IF($B20="","",$B20),"")</f>
        <v>Pâte / purée de noisette</v>
      </c>
      <c r="V20" s="209" t="str">
        <f>IF(20=20,LOWER(CLEAN(SUBSTITUTE(SUBSTITUTE(SUBSTITUTE(SUBSTITUTE($U20,CHAR(160)," ")," "," "),CHAR(10)," "),CHAR(13)," "))),"")</f>
        <v>pâte / purée de noisette</v>
      </c>
      <c r="W20" s="209" t="str">
        <f>IF(20=20,SUBSTITUTE(SUBSTITUTE(SUBSTITUTE(SUBSTITUTE(SUBSTITUTE(SUBSTITUTE(SUBSTITUTE(SUBSTITUTE(SUBSTITUTE(SUBSTITUTE(SUBSTITUTE(SUBSTITUTE($V20,"œ","oe"),"æ","ae"),"à","a"),"á","a"),"â","a"),"ä","a"),"ã","a"),"ç","c"),"è","e"),"é","e"),"ê","e"),"ë","e"),"")</f>
        <v>pate / puree de noisette</v>
      </c>
      <c r="X20" s="209" t="str">
        <f>IF(20=20,SUBSTITUTE(SUBSTITUTE(SUBSTITUTE(SUBSTITUTE(SUBSTITUTE(SUBSTITUTE(SUBSTITUTE(SUBSTITUTE(SUBSTITUTE(SUBSTITUTE(SUBSTITUTE(SUBSTITUTE(SUBSTITUTE(SUBSTITUTE(SUBSTITUTE(SUBSTITUTE($W20,"ì","i"),"í","i"),"î","i"),"ï","i"),"ñ","n"),"ò","o"),"ó","o"),"ô","o"),"ö","o"),"õ","o"),"ù","u"),"ú","u"),"û","u"),"ü","u"),"ý","y"),"ÿ","y"),"")</f>
        <v>pate / puree de noisette</v>
      </c>
      <c r="Y20" s="209" t="str">
        <f>IF(20=20,SUBSTITUTE(SUBSTITUTE(SUBSTITUTE(SUBSTITUTE(SUBSTITUTE(SUBSTITUTE(SUBSTITUTE(SUBSTITUTE(SUBSTITUTE(SUBSTITUTE(SUBSTITUTE(SUBSTITUTE(SUBSTITUTE(SUBSTITUTE($X20,"’"," "),"`"," "),"–"," "),"—"," "),"-"," "),"'"," "),"/"," "),"_"," "),","," "),"."," "),"("," "),")"," "),";"," "),":"," "),"")</f>
        <v>pate   puree de noisette</v>
      </c>
      <c r="Z20" s="209" t="str">
        <f>IF(20=20,SUBSTITUTE(SUBSTITUTE(SUBSTITUTE(SUBSTITUTE(SUBSTITUTE(SUBSTITUTE(SUBSTITUTE(SUBSTITUTE(SUBSTITUTE(SUBSTITUTE(SUBSTITUTE(SUBSTITUTE(SUBSTITUTE(SUBSTITUTE(SUBSTITUTE($Y20,"!"," "),"?"," "),"+"," "),"*"," "),"&amp;"," "),"["," "),"]"," "),"{"," "),"}"," "),"%"," "),"="," "),"\"," "),"|"," "),"&lt;"," "),"&gt;"," "),"")</f>
        <v>pate   puree de noisette</v>
      </c>
      <c r="AA20" s="209" t="str">
        <f>IF(20=20," "&amp;TRIM(SUBSTITUTE(SUBSTITUTE(SUBSTITUTE(SUBSTITUTE(SUBSTITUTE(SUBSTITUTE($Z20,CHAR(34)," "),"  "," "),"  "," "),"  "," "),"  "," "),"  "," "))&amp;" ","")</f>
        <v xml:space="preserve"> pate puree de noisette </v>
      </c>
      <c r="AB20" s="209">
        <f>IF(20=20,IF($U20="","",SUMPRODUCT(--ISNUMBER(SEARCH(" "&amp;$CR$2:$CR$101&amp;" ",$AD20)))),"")</f>
        <v>0</v>
      </c>
      <c r="AC20" s="209">
        <f>IF(20=20,IF($U20="","",SUMPRODUCT(--ISNUMBER(SEARCH(" "&amp;$CR$102:$CR$151&amp;" ",$AD20)))),"")</f>
        <v>0</v>
      </c>
      <c r="AD20" s="209" t="str">
        <f t="shared" si="1"/>
        <v xml:space="preserve"> pate puree de noisette </v>
      </c>
      <c r="AE20" s="209">
        <f t="shared" si="2"/>
        <v>0</v>
      </c>
      <c r="AF20" s="209" t="str">
        <f>IF(20=20,IF($U20="","",IF(SUM(AB20:AC20)+SUMPRODUCT(--ISNUMBER(SEARCH(" "&amp;$CR$2418:$CR$2420&amp;" ",$AD20)))&gt;0,"X",IF(AE20&gt;0,"?",""))),"")</f>
        <v/>
      </c>
      <c r="AG20" s="209">
        <f>IF(20=20,IF($U20="","",SUMPRODUCT(--ISNUMBER(SEARCH(" "&amp;$CR$206:$CR$305&amp;" ",$AA20)))),"")</f>
        <v>0</v>
      </c>
      <c r="AH20" s="209">
        <f>IF(20=20,IF($U20="","",SUMPRODUCT(--ISNUMBER(SEARCH(" "&amp;$CR$306:$CR$340&amp;" ",$AA20)))),"")</f>
        <v>0</v>
      </c>
      <c r="AI20" s="209" t="str">
        <f>IF(20=20,IF($U20="","",IF((SUM(AG20:AH20))-(0)&gt;0,"X",IF((0)-(0)&gt;0,"?",""))),"")</f>
        <v/>
      </c>
      <c r="AJ20" s="209">
        <f>IF(20=20,IF($U20="","",SUMPRODUCT(--ISNUMBER(SEARCH(" "&amp;$CR$341:$CR$398&amp;" ",$AA20)))),"")</f>
        <v>0</v>
      </c>
      <c r="AK20" s="209">
        <f>IF(20=20,IF($U20="","",SUMPRODUCT(--ISNUMBER(SEARCH(" "&amp;$CR$399:$CR$426&amp;" ",$AL20)))+SUMPRODUCT(--ISNUMBER(SEARCH(" "&amp;$CR$2440:$CR$2453&amp;" ",$AL20)))),"")</f>
        <v>1</v>
      </c>
      <c r="AL20" s="209" t="str">
        <f>IF(20=20,IF($U20="","",SUBSTITUTE(SUBSTITUTE(SUBSTITUTE(SUBSTITUTE(SUBSTITUTE(SUBSTITUTE(SUBSTITUTE(SUBSTITUTE(SUBSTITUTE(SUBSTITUTE(SUBSTITUTE(SUBSTITUTE(SUBSTITUTE(SUBSTITUTE($AA20,"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pate puree de noisette </v>
      </c>
      <c r="AM20" s="209" t="str">
        <f>IF(20=20,IF($U20="","",IF(AJ20&gt;0,"X",IF(AK20&gt;0,"?",""))),"")</f>
        <v>?</v>
      </c>
      <c r="AN20" s="209">
        <f>IF(20=20,IF($U20="","",SUMPRODUCT(--ISNUMBER(SEARCH(" "&amp;$CR$436:$CR$535&amp;" ",$AX20)))),"")</f>
        <v>0</v>
      </c>
      <c r="AO20" s="209">
        <f>IF(20=20,IF($U20="","",SUMPRODUCT(--ISNUMBER(SEARCH(" "&amp;$CR$536:$CR$635&amp;" ",$AX20)))),"")</f>
        <v>0</v>
      </c>
      <c r="AP20" s="209">
        <f>IF(20=20,IF($U20="","",SUMPRODUCT(--ISNUMBER(SEARCH(" "&amp;$CR$636:$CR$735&amp;" ",$AX20)))),"")</f>
        <v>0</v>
      </c>
      <c r="AQ20" s="209">
        <f>IF(20=20,IF($U20="","",SUMPRODUCT(--ISNUMBER(SEARCH(" "&amp;$CR$736:$CR$835&amp;" ",$AX20)))),"")</f>
        <v>0</v>
      </c>
      <c r="AR20" s="209">
        <f>IF(20=20,IF($U20="","",SUMPRODUCT(--ISNUMBER(SEARCH(" "&amp;$CR$836:$CR$935&amp;" ",$AX20)))),"")</f>
        <v>0</v>
      </c>
      <c r="AS20" s="209">
        <f>IF(20=20,IF($U20="","",SUMPRODUCT(--ISNUMBER(SEARCH(" "&amp;$CR$936:$CR$1035&amp;" ",$AX20)))),"")</f>
        <v>0</v>
      </c>
      <c r="AT20" s="209">
        <f>IF(20=20,IF($U20="","",SUMPRODUCT(--ISNUMBER(SEARCH(" "&amp;$CR$1036:$CR$1135&amp;" ",$AX20)))),"")</f>
        <v>0</v>
      </c>
      <c r="AU20" s="209">
        <f>IF(20=20,IF($U20="","",SUMPRODUCT(--ISNUMBER(SEARCH(" "&amp;$CR$1136:$CR$1235&amp;" ",$AX20)))),"")</f>
        <v>0</v>
      </c>
      <c r="AV20" s="209">
        <f>IF(20=20,IF($U20="","",SUMPRODUCT(--ISNUMBER(SEARCH(" "&amp;$CR$1236:$CR$1335&amp;" ",$AX20)))),"")</f>
        <v>0</v>
      </c>
      <c r="AW20" s="209">
        <f>IF(20=20,IF($U20="","",SUMPRODUCT(--ISNUMBER(SEARCH(" "&amp;$CR$1336:$CR$1363&amp;" ",$AX20)))),"")</f>
        <v>0</v>
      </c>
      <c r="AX20" s="209" t="str">
        <f>IF(20=20,IF($U20="","",SUBSTITUTE(SUBSTITUTE(SUBSTITUTE(SUBSTITUTE(SUBSTITUTE(SUBSTITUTE(SUBSTITUTE(SUBSTITUTE(SUBSTITUTE($AA20,"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pate puree de noisette </v>
      </c>
      <c r="AY20" s="209">
        <f>IF(20=20,IF($U20="","",SUMPRODUCT(--ISNUMBER(SEARCH(" "&amp;$CR$1373:$CR$1383&amp;" ",$AX20)))),"")</f>
        <v>0</v>
      </c>
      <c r="AZ20" s="209" t="str">
        <f>IF(20=20,IF($U20="","",IF(SUM(AN20:AW20)+SUMPRODUCT(--ISNUMBER(SEARCH(" "&amp;$CR$2421:$CR$2422&amp;" ",$AX20)))&gt;0,"X",IF(AY20&gt;0,"?",""))),"")</f>
        <v/>
      </c>
      <c r="BA20" s="209">
        <f>IF(20=20,IF($U20="","",SUMPRODUCT(--ISNUMBER(SEARCH(" "&amp;$CR$1384:$CR$1404&amp;" ",$AA20)))),"")</f>
        <v>0</v>
      </c>
      <c r="BB20" s="209" t="str">
        <f>IF(20=20,IF($U20="","",IF((BA20)-(0)&gt;0,"X",IF((0)-(0)&gt;0,"?",""))),"")</f>
        <v/>
      </c>
      <c r="BC20" s="209">
        <f>IF(20=20,IF($U20="","",SUMPRODUCT(--ISNUMBER(SEARCH(" "&amp;$CR$1405:$CR$1442&amp;" ",$BD20)))),"")</f>
        <v>0</v>
      </c>
      <c r="BD20" s="209" t="str">
        <f>IF(20=20,IF($U20="","",SUBSTITUTE(SUBSTITUTE($AA20," "&amp;$CR$1443&amp;" "," ")," "&amp;$CR$1444&amp;" "," ")),"")</f>
        <v xml:space="preserve"> pate puree de noisette </v>
      </c>
      <c r="BE20" s="209">
        <f>IF(20=20,IF($U20="","",SUMPRODUCT(--ISNUMBER(SEARCH(" "&amp;$CR$1445:$CR$1455&amp;" ",$BD20)))),"")</f>
        <v>0</v>
      </c>
      <c r="BF20" s="209" t="str">
        <f>IF(20=20,IF($U20="","",IF(BC20&gt;0,"X",IF(BE20&gt;0,"?",""))),"")</f>
        <v/>
      </c>
      <c r="BG20" s="209">
        <f>IF(20=20,IF($U20="","",SUMPRODUCT(--ISNUMBER(SEARCH(" "&amp;$CR$1456:$CR$1555&amp;" ",$BJ20)))),"")</f>
        <v>0</v>
      </c>
      <c r="BH20" s="209">
        <f>IF(20=20,IF($U20="","",SUMPRODUCT(--ISNUMBER(SEARCH(" "&amp;$CR$1556:$CR$1655&amp;" ",$BJ20)))),"")</f>
        <v>0</v>
      </c>
      <c r="BI20" s="209">
        <f>IF(20=20,IF($U20="","",SUMPRODUCT(--ISNUMBER(SEARCH(" "&amp;$CR$1656:$CR$1739&amp;" ",$BJ20)))),"")</f>
        <v>0</v>
      </c>
      <c r="BJ20" s="209" t="str">
        <f>IF(20=20,IF($U20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20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pate puree de noisette </v>
      </c>
      <c r="BK20" s="209">
        <f>IF(20=20,IF($U20="","",SUMPRODUCT(--ISNUMBER(SEARCH(" "&amp;$CR$1790:$CR$1869&amp;" ",$BL20)))+SUMPRODUCT(--ISNUMBER(SEARCH(" "&amp;$CR$2440:$CR$2453&amp;" ",$BL20)))),"")</f>
        <v>1</v>
      </c>
      <c r="BL20" s="209" t="str">
        <f>IF(20=20,IF($U20="","",SUBSTITUTE(SUBSTITUTE(SUBSTITUTE(SUBSTITUTE(SUBSTITUTE(SUBSTITUTE(SUBSTITUTE(SUBSTITUTE(SUBSTITUTE(SUBSTITUTE(SUBSTITUTE(SUBSTITUTE(SUBSTITUTE($BJ20,"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pate puree de noisette </v>
      </c>
      <c r="BM20" s="209" t="str">
        <f>IF(20=20,IF($U20="","",IF(SUM(BG20:BI20)+SUMPRODUCT(--ISNUMBER(SEARCH(" "&amp;$CR$2423:$CR$2424&amp;" ",$BJ20)))&gt;0,"X",IF(BK20&gt;0,"?",""))),"")</f>
        <v>?</v>
      </c>
      <c r="BN20" s="209">
        <f>IF(20=20,IF($U20="","",SUMPRODUCT(--ISNUMBER(SEARCH(" "&amp;$CR$1879:$CR$1936&amp;" ",$BO20)))),"")</f>
        <v>2</v>
      </c>
      <c r="BO20" s="209" t="str">
        <f>IF(20=20,IF($U20="","",SUBSTITUTE(SUBSTITUTE(SUBSTITUTE(SUBSTITUTE(SUBSTITUTE(SUBSTITUTE(SUBSTITUTE(SUBSTITUTE(SUBSTITUTE(SUBSTITUTE(SUBSTITUTE(SUBSTITUTE(SUBSTITUTE(SUBSTITUTE(SUBSTITUTE(SUBSTITUTE(SUBSTITUTE(SUBSTITUTE(SUBSTITUTE(SUBSTITUTE(SUBSTITUTE(SUBSTITUTE(SUBSTITUTE($AA20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pate puree de noisette </v>
      </c>
      <c r="BP20" s="209">
        <f>IF(20=20,IF($U20="","",SUMPRODUCT(--ISNUMBER(SEARCH(" "&amp;$CR$1960:$CR$1976&amp;" ",$BO20)))),"")</f>
        <v>0</v>
      </c>
      <c r="BQ20" s="209" t="str">
        <f>IF(20=20,IF($U20="","",IF(BN20&gt;0,"X",IF(BP20&gt;0,"?",""))),"")</f>
        <v>X</v>
      </c>
      <c r="BR20" s="209">
        <f>IF(20=20,IF($U20="","",SUMPRODUCT(--ISNUMBER(SEARCH(" "&amp;$CR$1977:$CR$1990&amp;" ",$AA20)))),"")</f>
        <v>0</v>
      </c>
      <c r="BS20" s="209">
        <f>IF(20=20,IF($U20="","",SUMPRODUCT(--ISNUMBER(SEARCH(" "&amp;$CR$1991:$CR$2005&amp;" ",$AA20)))),"")</f>
        <v>1</v>
      </c>
      <c r="BT20" s="209" t="str">
        <f>IF(20=20,IF($U20="","",IF((BR20)-(0)&gt;0,"X",IF((BS20)-(0)&gt;0,"?",""))),"")</f>
        <v>?</v>
      </c>
      <c r="BU20" s="209">
        <f>IF(20=20,IF($U20="","",SUMPRODUCT(--ISNUMBER(SEARCH(" "&amp;$CR$2006:$CR$2023&amp;" ",$AA20)))),"")</f>
        <v>0</v>
      </c>
      <c r="BV20" s="209">
        <f>IF(20=20,IF($U20="","",SUMPRODUCT(--ISNUMBER(SEARCH(" "&amp;$CR$2024:$CR$2038&amp;" ",$AA20)))),"")</f>
        <v>1</v>
      </c>
      <c r="BW20" s="209" t="str">
        <f>IF(20=20,IF($U20="","",IF((BU20)-(0)&gt;0,"X",IF((BV20)-(0)&gt;0,"?",""))),"")</f>
        <v>?</v>
      </c>
      <c r="BX20" s="209">
        <f>IF(20=20,IF($U20="","",SUMPRODUCT(--ISNUMBER(SEARCH(" "&amp;$CR$2039:$CR$2057&amp;" ",$AA20)))),"")</f>
        <v>0</v>
      </c>
      <c r="BY20" s="209">
        <f>IF(20=20,IF($U20="","",SUMPRODUCT(--ISNUMBER(SEARCH(" "&amp;$CR$2058:$CR$2072&amp;" ",$AA20)))),"")</f>
        <v>0</v>
      </c>
      <c r="BZ20" s="209" t="str">
        <f>IF(20=20,IF($U20="","",IF((BX20)-(0)&gt;0,"X",IF((BY20)-(0)&gt;0,"?",""))),"")</f>
        <v/>
      </c>
      <c r="CA20" s="209">
        <f>IF(20=20,IF($U20="","",SUMPRODUCT(--ISNUMBER(SEARCH(" "&amp;$CR$2073:$CR$2093&amp;" ",$AA20)))),"")</f>
        <v>0</v>
      </c>
      <c r="CB20" s="209">
        <f>IF(20=20,IF($U20="","",SUMPRODUCT(--ISNUMBER(SEARCH(" "&amp;$CR$2094:$CR$2133&amp;" ",SUBSTITUTE(SUBSTITUTE($AA20," "&amp;$CR$1367&amp;" "," ")," "&amp;$CR$1366&amp;" "," "))))+--ISNUMBER(SEARCH("poiré",$V20))),"")</f>
        <v>0</v>
      </c>
      <c r="CC20" s="209" t="str">
        <f>IF(20=20,IF($U20="","",IF(OR(CA20&gt;0,ISNUMBER(SEARCH(" vinaigre de vin ",$AA20)),ISNUMBER(SEARCH(" vinaigre au vin ",$AA20))),"X",IF(CB20&gt;0,"?",""))),"")</f>
        <v/>
      </c>
      <c r="CD20" s="209">
        <f>IF(20=20,IF($U20="","",SUMPRODUCT(--ISNUMBER(SEARCH(" "&amp;$CR$2134:$CR$2146&amp;" ",$AA20)))),"")</f>
        <v>0</v>
      </c>
      <c r="CE20" s="209">
        <f>IF(20=20,IF($U20="","",SUMPRODUCT(--ISNUMBER(SEARCH(" "&amp;$CR$2147:$CR$2152&amp;" ",$AA20)))),"")</f>
        <v>0</v>
      </c>
      <c r="CF20" s="209" t="str">
        <f>IF(20=20,IF($U20="","",IF((CD20)-(0)&gt;0,"X",IF((CE20)-(0)&gt;0,"?",""))),"")</f>
        <v/>
      </c>
      <c r="CG20" s="209">
        <f>IF(20=20,IF($U20="","",SUMPRODUCT(--ISNUMBER(SEARCH(" "&amp;$CR$2153:$CR$2252&amp;" ",$CJ20)))),"")</f>
        <v>0</v>
      </c>
      <c r="CH20" s="209">
        <f>IF(20=20,IF($U20="","",SUMPRODUCT(--ISNUMBER(SEARCH(" "&amp;$CR$2253:$CR$2352&amp;" ",$CJ20)))),"")</f>
        <v>0</v>
      </c>
      <c r="CI20" s="209">
        <f>IF(20=20,IF($U20="","",SUMPRODUCT(--ISNUMBER(SEARCH(" "&amp;$CR$2353:$CR$2395&amp;" ",$CJ20)))),"")</f>
        <v>0</v>
      </c>
      <c r="CJ20" s="209" t="str">
        <f>IF(20=20,IF($U20="","",SUBSTITUTE(SUBSTITUTE(SUBSTITUTE(SUBSTITUTE(SUBSTITUTE(SUBSTITUTE(SUBSTITUTE(SUBSTITUTE(SUBSTITUTE(SUBSTITUTE(SUBSTITUTE(SUBSTITUTE(SUBSTITUTE(SUBSTITUTE(SUBSTITUTE(SUBSTITUTE($AA20,"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pate puree de noisette </v>
      </c>
      <c r="CK20" s="209">
        <f>IF(20=20,IF($U20="","",SUMPRODUCT(--ISNUMBER(SEARCH(" "&amp;$CR$2412:$CR$2416&amp;" ",$CJ20)))),"")</f>
        <v>0</v>
      </c>
      <c r="CL20" s="209" t="str">
        <f>IF(20=20,IF($U20="","",IF(SUM(CG20:CI20)&gt;0,"X",IF(CK20&gt;0,"?",""))),"")</f>
        <v/>
      </c>
      <c r="CM20" s="210"/>
      <c r="CN20" s="213" t="s">
        <v>1006</v>
      </c>
      <c r="CO20" s="213" t="s">
        <v>878</v>
      </c>
      <c r="CP20" s="213" t="s">
        <v>879</v>
      </c>
      <c r="CQ20" s="213" t="s">
        <v>1007</v>
      </c>
      <c r="CR20" s="213" t="s">
        <v>1007</v>
      </c>
      <c r="CS20" s="213" t="s">
        <v>881</v>
      </c>
      <c r="CT20" s="213" t="s">
        <v>882</v>
      </c>
      <c r="CU20" s="213" t="s">
        <v>883</v>
      </c>
      <c r="CV20" s="214" t="s">
        <v>884</v>
      </c>
      <c r="CX20" s="212">
        <v>1</v>
      </c>
    </row>
    <row r="21" spans="1:102" ht="21" customHeight="1">
      <c r="A21" s="229">
        <v>15</v>
      </c>
      <c r="B21" s="230" t="s">
        <v>6488</v>
      </c>
      <c r="C21" s="231" t="str">
        <f t="shared" si="0"/>
        <v>Praliné *</v>
      </c>
      <c r="D21" s="232" t="str">
        <f>IF(21=21,IF($B21="","",IF(E21="X",""&amp;"Céréales contenant du gluten","")&amp;IF(F21="X",IF(COUNTIF($E21:$E21,"X")&gt;0,", ","")&amp;"Crustacés","")&amp;IF(G21="X",IF(COUNTIF($E21:$F21,"X")&gt;0,", ","")&amp;"Œufs","")&amp;IF(H21="X",IF(COUNTIF($E21:$G21,"X")&gt;0,", ","")&amp;"Poissons","")&amp;IF(I21="X",IF(COUNTIF($E21:$H21,"X")&gt;0,", ","")&amp;"Arachides","")&amp;IF(J21="X",IF(COUNTIF($E21:$I21,"X")&gt;0,", ","")&amp;"Soja","")&amp;IF(K21="X",IF(COUNTIF($E21:$J21,"X")&gt;0,", ","")&amp;"Lait","")&amp;IF(L21="X",IF(COUNTIF($E21:$K21,"X")&gt;0,", ","")&amp;"Fruits à coque","")&amp;IF(M21="X",IF(COUNTIF($E21:$L21,"X")&gt;0,", ","")&amp;"Céleri","")&amp;IF(N21="X",IF(COUNTIF($E21:$M21,"X")&gt;0,", ","")&amp;"Moutarde","")&amp;IF(O21="X",IF(COUNTIF($E21:$N21,"X")&gt;0,", ","")&amp;"Sésame","")&amp;IF(P21="X",IF(COUNTIF($E21:$O21,"X")&gt;0,", ","")&amp;"Sulfites","")&amp;IF(Q21="X",IF(COUNTIF($E21:$P21,"X")&gt;0,", ","")&amp;"Lupin","")&amp;IF(R21="X",IF(COUNTIF($E21:$Q21,"X")&gt;0,", ","")&amp;"Mollusques","")),"")</f>
        <v>Fruits à coque</v>
      </c>
      <c r="E21" s="233" t="str">
        <f>IF(21=21,IF($B21="","",IF(OR(ISNUMBER(SEARCH(" biere sans gluten ",$AA21)),ISNUMBER(SEARCH(" gluten free beer ",$AA21)),ISNUMBER(SEARCH(" beer gluten free ",$AA21))),"",IF(AF21="X","X",IF(OR(AF21="?",OR(ISNUMBER(SEARCH(" worcestershire ",$AA21)),ISNUMBER(SEARCH(" bloody mary ",$AA21)))),"?","")))),"")</f>
        <v/>
      </c>
      <c r="F21" s="233" t="str">
        <f>IF(21=21,IF($B21="","",AI21),"")</f>
        <v/>
      </c>
      <c r="G21" s="233" t="str">
        <f>IF(21=21,IF($B21="","",IF(OR(TRIM($AA21)="puree pate d amande",TRIM($AA21)="pate puree d amande",TRIM($AA21)="puree d amande",TRIM($AA21)="pate d amande",TRIM($AA21)="pate puree de noisette",TRIM($AA21)="puree pate de noisette",TRIM($AA21)="puree de noisette",TRIM($AA21)="pate de noisette"),"",IF(OR(AM21="X",OR(ISNUMBER(SEARCH(" macaron ",$AA21)),ISNUMBER(SEARCH(" egg nog ",$AA21)),ISNUMBER(SEARCH(" eggnog ",$AA21)))),"X",IF(OR(AM21="?",OR(ISNUMBER(SEARCH(" biscuit decoratif ",$AA21)),ISNUMBER(SEARCH(" whisky sour ",$AA21)),ISNUMBER(SEARCH(" whiskey sour ",$AA21)),ISNUMBER(SEARCH(" amaretto sour ",$AA21)),ISNUMBER(SEARCH(" pisco sour ",$AA21)),ISNUMBER(SEARCH(" clover club ",$AA21)),ISNUMBER(SEARCH(" ramos gin fizz ",$AA21)))),"?","")))),"")</f>
        <v/>
      </c>
      <c r="H21" s="233" t="str">
        <f>IF(21=21,IF($B21="","",IF(ISNUMBER(SEARCH(" colin ",$AA21)),"X",IF(AZ21="X","X",IF(OR(AZ21="?",OR(ISNUMBER(SEARCH(" worcestershire ",$AA21)),ISNUMBER(SEARCH(" bloody mary ",$AA21)))),"?","")))),"")</f>
        <v/>
      </c>
      <c r="I21" s="233" t="str">
        <f>IF(21=21,IF($B21="","",BB21),"")</f>
        <v/>
      </c>
      <c r="J21" s="233" t="str">
        <f>IF(21=21,IF($B21="","",BF21),"")</f>
        <v/>
      </c>
      <c r="K21" s="233" t="str">
        <f>IF(21=21,IF($B21="","",IF(OR(OR(TRIM($AA21)="puree pate d amande",TRIM($AA21)="pate puree d amande",TRIM($AA21)="puree d amande",TRIM($AA21)="pate d amande",TRIM($AA21)="pate puree de noisette",TRIM($AA21)="puree pate de noisette",TRIM($AA21)="puree de noisette",TRIM($AA21)="pate de noisette"),OR(TRIM($AA21)="beurre puree d arachide",TRIM($AA21)="beurre d arachide",TRIM($AA21)="puree d arachide"),OR(TRIM($AA21)="tahini puree de sesame",TRIM($AA21)="tahini",TRIM($AA21)="puree de sesame")),"",IF(OR(TRIM($AA21)="creme de cassis",TRIM($AA21)="creme de menthe",TRIM($AA21)="creme de cacao",TRIM($AA21)="creme de mure",TRIM($AA21)="creme de framboise",TRIM($AA21)="creme de peche",TRIM($AA21)="creme de banane",TRIM($AA21)="liqueur creme de coco",TRIM($AA21)="creme de coco",TRIM($AA21)="spiritueux aromatise arrange creme de spiritueux"),"?",IF(OR(BM21="X",OR(ISNUMBER(SEARCH(" baileys ",$AA21)),ISNUMBER(SEARCH(" irish cream ",$AA21)),ISNUMBER(SEARCH(" creme de whisky ",$AA21)))),"X",IF(OR(BM21="?",OR(OR(TRIM($AA21)="creme de cassis",TRIM($AA21)="creme de menthe",TRIM($AA21)="creme de cacao",TRIM($AA21)="creme de mure",TRIM($AA21)="creme de framboise",TRIM($AA21)="creme de peche",TRIM($AA21)="creme de banane",TRIM($AA21)="liqueur creme de coco",TRIM($AA21)="creme de coco",TRIM($AA21)="spiritueux aromatise arrange creme de spiritueux"),ISNUMBER(SEARCH(" advocaat ",$AA21)),ISNUMBER(SEARCH(" liqueur aux oeufs ",$AA21)),ISNUMBER(SEARCH(" liqueur de chocolat ",$AA21)),ISNUMBER(SEARCH(" liqueur de caramel ",$AA21)),ISNUMBER(SEARCH(" sauce nappage chocolat ",$AA21)),ISNUMBER(SEARCH(" biscuit decoratif ",$AA21)),ISNUMBER(SEARCH(" white russian ",$AA21)),ISNUMBER(SEARCH(" grasshopper ",$AA21)),ISNUMBER(SEARCH(" irish coffee ",$AA21)),ISNUMBER(SEARCH(" ramos gin fizz ",$AA21)),ISNUMBER(SEARCH(" egg nog ",$AA21)),ISNUMBER(SEARCH(" eggnog ",$AA21)))),"?",""))))),"")</f>
        <v/>
      </c>
      <c r="L21" s="233" t="str">
        <f>IF(21=21,IF($B21="","",IF(OR(BQ21="X",OR(OR(TRIM($AA21)="puree pate d amande",TRIM($AA21)="pate puree d amande",TRIM($AA21)="puree d amande",TRIM($AA21)="pate d amande",TRIM($AA21)="pate puree de noisette",TRIM($AA21)="puree pate de noisette",TRIM($AA21)="puree de noisette",TRIM($AA21)="pate de noisette"),ISNUMBER(SEARCH(" macaron ",$AA21)),TRIM($AA21)="fruits a coque")),"X",IF(OR(BQ21="?",OR(ISNUMBER(SEARCH(" sirop d orgeat ",$AA21)),ISNUMBER(SEARCH(" orgeat ",$AA21)),ISNUMBER(SEARCH(" amaretto ",$AA21)))),"?",""))),"")</f>
        <v>X</v>
      </c>
      <c r="M21" s="233" t="str">
        <f>IF(21=21,IF($B21="","",IF(OR(OR(TRIM($AA21)="puree pate d amande",TRIM($AA21)="pate puree d amande",TRIM($AA21)="puree d amande",TRIM($AA21)="pate d amande",TRIM($AA21)="pate puree de noisette",TRIM($AA21)="puree pate de noisette",TRIM($AA21)="puree de noisette",TRIM($AA21)="pate de noisette"),OR(TRIM($AA21)="tahini puree de sesame",TRIM($AA21)="tahini",TRIM($AA21)="puree de sesame")),"",IF(BT21="X","X",IF(OR(BT21="?",ISNUMBER(SEARCH(" bloody mary ",$AA21))),"?","")))),"")</f>
        <v/>
      </c>
      <c r="N21" s="233" t="str">
        <f>IF(21=21,IF($B21="","",IF(OR(OR(TRIM($AA21)="puree pate d amande",TRIM($AA21)="pate puree d amande",TRIM($AA21)="puree d amande",TRIM($AA21)="pate d amande",TRIM($AA21)="pate puree de noisette",TRIM($AA21)="puree pate de noisette",TRIM($AA21)="puree de noisette",TRIM($AA21)="pate de noisette"),OR(TRIM($AA21)="tahini puree de sesame",TRIM($AA21)="tahini",TRIM($AA21)="puree de sesame")),"",IF(BW21="X","X",IF(OR(BW21="?",ISNUMBER(SEARCH(" bloody mary ",$AA21))),"?","")))),"")</f>
        <v/>
      </c>
      <c r="O21" s="233" t="str">
        <f>IF(21=21,IF($B21="","",BZ21),"")</f>
        <v/>
      </c>
      <c r="P21" s="233" t="str">
        <f>IF(21=21,IF($B21="","",CC21),"")</f>
        <v/>
      </c>
      <c r="Q21" s="233" t="str">
        <f>IF(21=21,IF($B21="","",CF21),"")</f>
        <v/>
      </c>
      <c r="R21" s="233" t="str">
        <f>IF(21=21,IF($B21="","",IF(TRIM($AA21)="fruits a coque","",IF(CL21="X","X",IF(OR(CL21="?",OR(ISNUMBER(SEARCH(" clamato ",$AA21)),ISNUMBER(SEARCH(" bloody caesar ",$AA21)))),"?","")))),"")</f>
        <v/>
      </c>
      <c r="S21" s="234" t="str">
        <f>IF(21=21,IF($B21="","",IF(E21="?",""&amp;"Céréales contenant du gluten","")&amp;IF(F21="?",IF(COUNTIF($E21:$E21,"~?")&gt;0,", ","")&amp;"Crustacés","")&amp;IF(G21="?",IF(COUNTIF($E21:$F21,"~?")&gt;0,", ","")&amp;"Œufs","")&amp;IF(H21="?",IF(COUNTIF($E21:$G21,"~?")&gt;0,", ","")&amp;"Poissons","")&amp;IF(I21="?",IF(COUNTIF($E21:$H21,"~?")&gt;0,", ","")&amp;"Arachides","")&amp;IF(J21="?",IF(COUNTIF($E21:$I21,"~?")&gt;0,", ","")&amp;"Soja","")&amp;IF(K21="?",IF(COUNTIF($E21:$J21,"~?")&gt;0,", ","")&amp;"Lait","")&amp;IF(L21="?",IF(COUNTIF($E21:$K21,"~?")&gt;0,", ","")&amp;"Fruits à coque","")&amp;IF(M21="?",IF(COUNTIF($E21:$L21,"~?")&gt;0,", ","")&amp;"Céleri","")&amp;IF(N21="?",IF(COUNTIF($E21:$M21,"~?")&gt;0,", ","")&amp;"Moutarde","")&amp;IF(O21="?",IF(COUNTIF($E21:$N21,"~?")&gt;0,", ","")&amp;"Sésame","")&amp;IF(P21="?",IF(COUNTIF($E21:$O21,"~?")&gt;0,", ","")&amp;"Sulfites","")&amp;IF(Q21="?",IF(COUNTIF($E21:$P21,"~?")&gt;0,", ","")&amp;"Lupin","")&amp;IF(R21="?",IF(COUNTIF($E21:$Q21,"~?")&gt;0,", ","")&amp;"Mollusques","")),"")</f>
        <v/>
      </c>
      <c r="U21" s="209" t="str">
        <f>IF(21=21,IF($B21="","",$B21),"")</f>
        <v>Praliné</v>
      </c>
      <c r="V21" s="209" t="str">
        <f>IF(21=21,LOWER(CLEAN(SUBSTITUTE(SUBSTITUTE(SUBSTITUTE(SUBSTITUTE($U21,CHAR(160)," ")," "," "),CHAR(10)," "),CHAR(13)," "))),"")</f>
        <v>praliné</v>
      </c>
      <c r="W21" s="209" t="str">
        <f>IF(21=21,SUBSTITUTE(SUBSTITUTE(SUBSTITUTE(SUBSTITUTE(SUBSTITUTE(SUBSTITUTE(SUBSTITUTE(SUBSTITUTE(SUBSTITUTE(SUBSTITUTE(SUBSTITUTE(SUBSTITUTE($V21,"œ","oe"),"æ","ae"),"à","a"),"á","a"),"â","a"),"ä","a"),"ã","a"),"ç","c"),"è","e"),"é","e"),"ê","e"),"ë","e"),"")</f>
        <v>praline</v>
      </c>
      <c r="X21" s="209" t="str">
        <f>IF(21=21,SUBSTITUTE(SUBSTITUTE(SUBSTITUTE(SUBSTITUTE(SUBSTITUTE(SUBSTITUTE(SUBSTITUTE(SUBSTITUTE(SUBSTITUTE(SUBSTITUTE(SUBSTITUTE(SUBSTITUTE(SUBSTITUTE(SUBSTITUTE(SUBSTITUTE(SUBSTITUTE($W21,"ì","i"),"í","i"),"î","i"),"ï","i"),"ñ","n"),"ò","o"),"ó","o"),"ô","o"),"ö","o"),"õ","o"),"ù","u"),"ú","u"),"û","u"),"ü","u"),"ý","y"),"ÿ","y"),"")</f>
        <v>praline</v>
      </c>
      <c r="Y21" s="209" t="str">
        <f>IF(21=21,SUBSTITUTE(SUBSTITUTE(SUBSTITUTE(SUBSTITUTE(SUBSTITUTE(SUBSTITUTE(SUBSTITUTE(SUBSTITUTE(SUBSTITUTE(SUBSTITUTE(SUBSTITUTE(SUBSTITUTE(SUBSTITUTE(SUBSTITUTE($X21,"’"," "),"`"," "),"–"," "),"—"," "),"-"," "),"'"," "),"/"," "),"_"," "),","," "),"."," "),"("," "),")"," "),";"," "),":"," "),"")</f>
        <v>praline</v>
      </c>
      <c r="Z21" s="209" t="str">
        <f>IF(21=21,SUBSTITUTE(SUBSTITUTE(SUBSTITUTE(SUBSTITUTE(SUBSTITUTE(SUBSTITUTE(SUBSTITUTE(SUBSTITUTE(SUBSTITUTE(SUBSTITUTE(SUBSTITUTE(SUBSTITUTE(SUBSTITUTE(SUBSTITUTE(SUBSTITUTE($Y21,"!"," "),"?"," "),"+"," "),"*"," "),"&amp;"," "),"["," "),"]"," "),"{"," "),"}"," "),"%"," "),"="," "),"\"," "),"|"," "),"&lt;"," "),"&gt;"," "),"")</f>
        <v>praline</v>
      </c>
      <c r="AA21" s="209" t="str">
        <f>IF(21=21," "&amp;TRIM(SUBSTITUTE(SUBSTITUTE(SUBSTITUTE(SUBSTITUTE(SUBSTITUTE(SUBSTITUTE($Z21,CHAR(34)," "),"  "," "),"  "," "),"  "," "),"  "," "),"  "," "))&amp;" ","")</f>
        <v xml:space="preserve"> praline </v>
      </c>
      <c r="AB21" s="209">
        <f>IF(21=21,IF($U21="","",SUMPRODUCT(--ISNUMBER(SEARCH(" "&amp;$CR$2:$CR$101&amp;" ",$AD21)))),"")</f>
        <v>0</v>
      </c>
      <c r="AC21" s="209">
        <f>IF(21=21,IF($U21="","",SUMPRODUCT(--ISNUMBER(SEARCH(" "&amp;$CR$102:$CR$151&amp;" ",$AD21)))),"")</f>
        <v>0</v>
      </c>
      <c r="AD21" s="209" t="str">
        <f t="shared" si="1"/>
        <v xml:space="preserve"> praline </v>
      </c>
      <c r="AE21" s="209">
        <f t="shared" si="2"/>
        <v>0</v>
      </c>
      <c r="AF21" s="209" t="str">
        <f>IF(21=21,IF($U21="","",IF(SUM(AB21:AC21)+SUMPRODUCT(--ISNUMBER(SEARCH(" "&amp;$CR$2418:$CR$2420&amp;" ",$AD21)))&gt;0,"X",IF(AE21&gt;0,"?",""))),"")</f>
        <v/>
      </c>
      <c r="AG21" s="209">
        <f>IF(21=21,IF($U21="","",SUMPRODUCT(--ISNUMBER(SEARCH(" "&amp;$CR$206:$CR$305&amp;" ",$AA21)))),"")</f>
        <v>0</v>
      </c>
      <c r="AH21" s="209">
        <f>IF(21=21,IF($U21="","",SUMPRODUCT(--ISNUMBER(SEARCH(" "&amp;$CR$306:$CR$340&amp;" ",$AA21)))),"")</f>
        <v>0</v>
      </c>
      <c r="AI21" s="209" t="str">
        <f>IF(21=21,IF($U21="","",IF((SUM(AG21:AH21))-(0)&gt;0,"X",IF((0)-(0)&gt;0,"?",""))),"")</f>
        <v/>
      </c>
      <c r="AJ21" s="209">
        <f>IF(21=21,IF($U21="","",SUMPRODUCT(--ISNUMBER(SEARCH(" "&amp;$CR$341:$CR$398&amp;" ",$AA21)))),"")</f>
        <v>0</v>
      </c>
      <c r="AK21" s="209">
        <f>IF(21=21,IF($U21="","",SUMPRODUCT(--ISNUMBER(SEARCH(" "&amp;$CR$399:$CR$426&amp;" ",$AL21)))+SUMPRODUCT(--ISNUMBER(SEARCH(" "&amp;$CR$2440:$CR$2453&amp;" ",$AL21)))),"")</f>
        <v>0</v>
      </c>
      <c r="AL21" s="209" t="str">
        <f>IF(21=21,IF($U21="","",SUBSTITUTE(SUBSTITUTE(SUBSTITUTE(SUBSTITUTE(SUBSTITUTE(SUBSTITUTE(SUBSTITUTE(SUBSTITUTE(SUBSTITUTE(SUBSTITUTE(SUBSTITUTE(SUBSTITUTE(SUBSTITUTE(SUBSTITUTE($AA21,"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praline </v>
      </c>
      <c r="AM21" s="209" t="str">
        <f>IF(21=21,IF($U21="","",IF(AJ21&gt;0,"X",IF(AK21&gt;0,"?",""))),"")</f>
        <v/>
      </c>
      <c r="AN21" s="209">
        <f>IF(21=21,IF($U21="","",SUMPRODUCT(--ISNUMBER(SEARCH(" "&amp;$CR$436:$CR$535&amp;" ",$AX21)))),"")</f>
        <v>0</v>
      </c>
      <c r="AO21" s="209">
        <f>IF(21=21,IF($U21="","",SUMPRODUCT(--ISNUMBER(SEARCH(" "&amp;$CR$536:$CR$635&amp;" ",$AX21)))),"")</f>
        <v>0</v>
      </c>
      <c r="AP21" s="209">
        <f>IF(21=21,IF($U21="","",SUMPRODUCT(--ISNUMBER(SEARCH(" "&amp;$CR$636:$CR$735&amp;" ",$AX21)))),"")</f>
        <v>0</v>
      </c>
      <c r="AQ21" s="209">
        <f>IF(21=21,IF($U21="","",SUMPRODUCT(--ISNUMBER(SEARCH(" "&amp;$CR$736:$CR$835&amp;" ",$AX21)))),"")</f>
        <v>0</v>
      </c>
      <c r="AR21" s="209">
        <f>IF(21=21,IF($U21="","",SUMPRODUCT(--ISNUMBER(SEARCH(" "&amp;$CR$836:$CR$935&amp;" ",$AX21)))),"")</f>
        <v>0</v>
      </c>
      <c r="AS21" s="209">
        <f>IF(21=21,IF($U21="","",SUMPRODUCT(--ISNUMBER(SEARCH(" "&amp;$CR$936:$CR$1035&amp;" ",$AX21)))),"")</f>
        <v>0</v>
      </c>
      <c r="AT21" s="209">
        <f>IF(21=21,IF($U21="","",SUMPRODUCT(--ISNUMBER(SEARCH(" "&amp;$CR$1036:$CR$1135&amp;" ",$AX21)))),"")</f>
        <v>0</v>
      </c>
      <c r="AU21" s="209">
        <f>IF(21=21,IF($U21="","",SUMPRODUCT(--ISNUMBER(SEARCH(" "&amp;$CR$1136:$CR$1235&amp;" ",$AX21)))),"")</f>
        <v>0</v>
      </c>
      <c r="AV21" s="209">
        <f>IF(21=21,IF($U21="","",SUMPRODUCT(--ISNUMBER(SEARCH(" "&amp;$CR$1236:$CR$1335&amp;" ",$AX21)))),"")</f>
        <v>0</v>
      </c>
      <c r="AW21" s="209">
        <f>IF(21=21,IF($U21="","",SUMPRODUCT(--ISNUMBER(SEARCH(" "&amp;$CR$1336:$CR$1363&amp;" ",$AX21)))),"")</f>
        <v>0</v>
      </c>
      <c r="AX21" s="209" t="str">
        <f>IF(21=21,IF($U21="","",SUBSTITUTE(SUBSTITUTE(SUBSTITUTE(SUBSTITUTE(SUBSTITUTE(SUBSTITUTE(SUBSTITUTE(SUBSTITUTE(SUBSTITUTE($AA21,"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praline </v>
      </c>
      <c r="AY21" s="209">
        <f>IF(21=21,IF($U21="","",SUMPRODUCT(--ISNUMBER(SEARCH(" "&amp;$CR$1373:$CR$1383&amp;" ",$AX21)))),"")</f>
        <v>0</v>
      </c>
      <c r="AZ21" s="209" t="str">
        <f>IF(21=21,IF($U21="","",IF(SUM(AN21:AW21)+SUMPRODUCT(--ISNUMBER(SEARCH(" "&amp;$CR$2421:$CR$2422&amp;" ",$AX21)))&gt;0,"X",IF(AY21&gt;0,"?",""))),"")</f>
        <v/>
      </c>
      <c r="BA21" s="209">
        <f>IF(21=21,IF($U21="","",SUMPRODUCT(--ISNUMBER(SEARCH(" "&amp;$CR$1384:$CR$1404&amp;" ",$AA21)))),"")</f>
        <v>0</v>
      </c>
      <c r="BB21" s="209" t="str">
        <f>IF(21=21,IF($U21="","",IF((BA21)-(0)&gt;0,"X",IF((0)-(0)&gt;0,"?",""))),"")</f>
        <v/>
      </c>
      <c r="BC21" s="209">
        <f>IF(21=21,IF($U21="","",SUMPRODUCT(--ISNUMBER(SEARCH(" "&amp;$CR$1405:$CR$1442&amp;" ",$BD21)))),"")</f>
        <v>0</v>
      </c>
      <c r="BD21" s="209" t="str">
        <f>IF(21=21,IF($U21="","",SUBSTITUTE(SUBSTITUTE($AA21," "&amp;$CR$1443&amp;" "," ")," "&amp;$CR$1444&amp;" "," ")),"")</f>
        <v xml:space="preserve"> praline </v>
      </c>
      <c r="BE21" s="209">
        <f>IF(21=21,IF($U21="","",SUMPRODUCT(--ISNUMBER(SEARCH(" "&amp;$CR$1445:$CR$1455&amp;" ",$BD21)))),"")</f>
        <v>0</v>
      </c>
      <c r="BF21" s="209" t="str">
        <f>IF(21=21,IF($U21="","",IF(BC21&gt;0,"X",IF(BE21&gt;0,"?",""))),"")</f>
        <v/>
      </c>
      <c r="BG21" s="209">
        <f>IF(21=21,IF($U21="","",SUMPRODUCT(--ISNUMBER(SEARCH(" "&amp;$CR$1456:$CR$1555&amp;" ",$BJ21)))),"")</f>
        <v>0</v>
      </c>
      <c r="BH21" s="209">
        <f>IF(21=21,IF($U21="","",SUMPRODUCT(--ISNUMBER(SEARCH(" "&amp;$CR$1556:$CR$1655&amp;" ",$BJ21)))),"")</f>
        <v>0</v>
      </c>
      <c r="BI21" s="209">
        <f>IF(21=21,IF($U21="","",SUMPRODUCT(--ISNUMBER(SEARCH(" "&amp;$CR$1656:$CR$1739&amp;" ",$BJ21)))),"")</f>
        <v>0</v>
      </c>
      <c r="BJ21" s="209" t="str">
        <f>IF(21=21,IF($U21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21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praline </v>
      </c>
      <c r="BK21" s="209">
        <f>IF(21=21,IF($U21="","",SUMPRODUCT(--ISNUMBER(SEARCH(" "&amp;$CR$1790:$CR$1869&amp;" ",$BL21)))+SUMPRODUCT(--ISNUMBER(SEARCH(" "&amp;$CR$2440:$CR$2453&amp;" ",$BL21)))),"")</f>
        <v>0</v>
      </c>
      <c r="BL21" s="209" t="str">
        <f>IF(21=21,IF($U21="","",SUBSTITUTE(SUBSTITUTE(SUBSTITUTE(SUBSTITUTE(SUBSTITUTE(SUBSTITUTE(SUBSTITUTE(SUBSTITUTE(SUBSTITUTE(SUBSTITUTE(SUBSTITUTE(SUBSTITUTE(SUBSTITUTE($BJ21,"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praline </v>
      </c>
      <c r="BM21" s="209" t="str">
        <f>IF(21=21,IF($U21="","",IF(SUM(BG21:BI21)+SUMPRODUCT(--ISNUMBER(SEARCH(" "&amp;$CR$2423:$CR$2424&amp;" ",$BJ21)))&gt;0,"X",IF(BK21&gt;0,"?",""))),"")</f>
        <v/>
      </c>
      <c r="BN21" s="209">
        <f>IF(21=21,IF($U21="","",SUMPRODUCT(--ISNUMBER(SEARCH(" "&amp;$CR$1879:$CR$1936&amp;" ",$BO21)))),"")</f>
        <v>1</v>
      </c>
      <c r="BO21" s="209" t="str">
        <f>IF(21=21,IF($U21="","",SUBSTITUTE(SUBSTITUTE(SUBSTITUTE(SUBSTITUTE(SUBSTITUTE(SUBSTITUTE(SUBSTITUTE(SUBSTITUTE(SUBSTITUTE(SUBSTITUTE(SUBSTITUTE(SUBSTITUTE(SUBSTITUTE(SUBSTITUTE(SUBSTITUTE(SUBSTITUTE(SUBSTITUTE(SUBSTITUTE(SUBSTITUTE(SUBSTITUTE(SUBSTITUTE(SUBSTITUTE(SUBSTITUTE($AA21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praline </v>
      </c>
      <c r="BP21" s="209">
        <f>IF(21=21,IF($U21="","",SUMPRODUCT(--ISNUMBER(SEARCH(" "&amp;$CR$1960:$CR$1976&amp;" ",$BO21)))),"")</f>
        <v>0</v>
      </c>
      <c r="BQ21" s="209" t="str">
        <f>IF(21=21,IF($U21="","",IF(BN21&gt;0,"X",IF(BP21&gt;0,"?",""))),"")</f>
        <v>X</v>
      </c>
      <c r="BR21" s="209">
        <f>IF(21=21,IF($U21="","",SUMPRODUCT(--ISNUMBER(SEARCH(" "&amp;$CR$1977:$CR$1990&amp;" ",$AA21)))),"")</f>
        <v>0</v>
      </c>
      <c r="BS21" s="209">
        <f>IF(21=21,IF($U21="","",SUMPRODUCT(--ISNUMBER(SEARCH(" "&amp;$CR$1991:$CR$2005&amp;" ",$AA21)))),"")</f>
        <v>0</v>
      </c>
      <c r="BT21" s="209" t="str">
        <f>IF(21=21,IF($U21="","",IF((BR21)-(0)&gt;0,"X",IF((BS21)-(0)&gt;0,"?",""))),"")</f>
        <v/>
      </c>
      <c r="BU21" s="209">
        <f>IF(21=21,IF($U21="","",SUMPRODUCT(--ISNUMBER(SEARCH(" "&amp;$CR$2006:$CR$2023&amp;" ",$AA21)))),"")</f>
        <v>0</v>
      </c>
      <c r="BV21" s="209">
        <f>IF(21=21,IF($U21="","",SUMPRODUCT(--ISNUMBER(SEARCH(" "&amp;$CR$2024:$CR$2038&amp;" ",$AA21)))),"")</f>
        <v>0</v>
      </c>
      <c r="BW21" s="209" t="str">
        <f>IF(21=21,IF($U21="","",IF((BU21)-(0)&gt;0,"X",IF((BV21)-(0)&gt;0,"?",""))),"")</f>
        <v/>
      </c>
      <c r="BX21" s="209">
        <f>IF(21=21,IF($U21="","",SUMPRODUCT(--ISNUMBER(SEARCH(" "&amp;$CR$2039:$CR$2057&amp;" ",$AA21)))),"")</f>
        <v>0</v>
      </c>
      <c r="BY21" s="209">
        <f>IF(21=21,IF($U21="","",SUMPRODUCT(--ISNUMBER(SEARCH(" "&amp;$CR$2058:$CR$2072&amp;" ",$AA21)))),"")</f>
        <v>0</v>
      </c>
      <c r="BZ21" s="209" t="str">
        <f>IF(21=21,IF($U21="","",IF((BX21)-(0)&gt;0,"X",IF((BY21)-(0)&gt;0,"?",""))),"")</f>
        <v/>
      </c>
      <c r="CA21" s="209">
        <f>IF(21=21,IF($U21="","",SUMPRODUCT(--ISNUMBER(SEARCH(" "&amp;$CR$2073:$CR$2093&amp;" ",$AA21)))),"")</f>
        <v>0</v>
      </c>
      <c r="CB21" s="209">
        <f>IF(21=21,IF($U21="","",SUMPRODUCT(--ISNUMBER(SEARCH(" "&amp;$CR$2094:$CR$2133&amp;" ",SUBSTITUTE(SUBSTITUTE($AA21," "&amp;$CR$1367&amp;" "," ")," "&amp;$CR$1366&amp;" "," "))))+--ISNUMBER(SEARCH("poiré",$V21))),"")</f>
        <v>0</v>
      </c>
      <c r="CC21" s="209" t="str">
        <f>IF(21=21,IF($U21="","",IF(OR(CA21&gt;0,ISNUMBER(SEARCH(" vinaigre de vin ",$AA21)),ISNUMBER(SEARCH(" vinaigre au vin ",$AA21))),"X",IF(CB21&gt;0,"?",""))),"")</f>
        <v/>
      </c>
      <c r="CD21" s="209">
        <f>IF(21=21,IF($U21="","",SUMPRODUCT(--ISNUMBER(SEARCH(" "&amp;$CR$2134:$CR$2146&amp;" ",$AA21)))),"")</f>
        <v>0</v>
      </c>
      <c r="CE21" s="209">
        <f>IF(21=21,IF($U21="","",SUMPRODUCT(--ISNUMBER(SEARCH(" "&amp;$CR$2147:$CR$2152&amp;" ",$AA21)))),"")</f>
        <v>0</v>
      </c>
      <c r="CF21" s="209" t="str">
        <f>IF(21=21,IF($U21="","",IF((CD21)-(0)&gt;0,"X",IF((CE21)-(0)&gt;0,"?",""))),"")</f>
        <v/>
      </c>
      <c r="CG21" s="209">
        <f>IF(21=21,IF($U21="","",SUMPRODUCT(--ISNUMBER(SEARCH(" "&amp;$CR$2153:$CR$2252&amp;" ",$CJ21)))),"")</f>
        <v>0</v>
      </c>
      <c r="CH21" s="209">
        <f>IF(21=21,IF($U21="","",SUMPRODUCT(--ISNUMBER(SEARCH(" "&amp;$CR$2253:$CR$2352&amp;" ",$CJ21)))),"")</f>
        <v>0</v>
      </c>
      <c r="CI21" s="209">
        <f>IF(21=21,IF($U21="","",SUMPRODUCT(--ISNUMBER(SEARCH(" "&amp;$CR$2353:$CR$2395&amp;" ",$CJ21)))),"")</f>
        <v>0</v>
      </c>
      <c r="CJ21" s="209" t="str">
        <f>IF(21=21,IF($U21="","",SUBSTITUTE(SUBSTITUTE(SUBSTITUTE(SUBSTITUTE(SUBSTITUTE(SUBSTITUTE(SUBSTITUTE(SUBSTITUTE(SUBSTITUTE(SUBSTITUTE(SUBSTITUTE(SUBSTITUTE(SUBSTITUTE(SUBSTITUTE(SUBSTITUTE(SUBSTITUTE($AA21,"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praline </v>
      </c>
      <c r="CK21" s="209">
        <f>IF(21=21,IF($U21="","",SUMPRODUCT(--ISNUMBER(SEARCH(" "&amp;$CR$2412:$CR$2416&amp;" ",$CJ21)))),"")</f>
        <v>0</v>
      </c>
      <c r="CL21" s="209" t="str">
        <f>IF(21=21,IF($U21="","",IF(SUM(CG21:CI21)&gt;0,"X",IF(CK21&gt;0,"?",""))),"")</f>
        <v/>
      </c>
      <c r="CM21" s="210"/>
      <c r="CN21" s="213" t="s">
        <v>1008</v>
      </c>
      <c r="CO21" s="213" t="s">
        <v>878</v>
      </c>
      <c r="CP21" s="213" t="s">
        <v>879</v>
      </c>
      <c r="CQ21" s="213" t="s">
        <v>1009</v>
      </c>
      <c r="CR21" s="213" t="s">
        <v>1009</v>
      </c>
      <c r="CS21" s="213" t="s">
        <v>881</v>
      </c>
      <c r="CT21" s="213" t="s">
        <v>882</v>
      </c>
      <c r="CU21" s="213" t="s">
        <v>883</v>
      </c>
      <c r="CV21" s="214" t="s">
        <v>884</v>
      </c>
      <c r="CX21" s="212">
        <v>1</v>
      </c>
    </row>
    <row r="22" spans="1:102" ht="21" customHeight="1">
      <c r="A22" s="229">
        <v>16</v>
      </c>
      <c r="B22" s="230" t="s">
        <v>6495</v>
      </c>
      <c r="C22" s="231" t="str">
        <f t="shared" si="0"/>
        <v>Beurre / purée d'arachide *</v>
      </c>
      <c r="D22" s="232" t="str">
        <f>IF(22=22,IF($B22="","",IF(E22="X",""&amp;"Céréales contenant du gluten","")&amp;IF(F22="X",IF(COUNTIF($E22:$E22,"X")&gt;0,", ","")&amp;"Crustacés","")&amp;IF(G22="X",IF(COUNTIF($E22:$F22,"X")&gt;0,", ","")&amp;"Œufs","")&amp;IF(H22="X",IF(COUNTIF($E22:$G22,"X")&gt;0,", ","")&amp;"Poissons","")&amp;IF(I22="X",IF(COUNTIF($E22:$H22,"X")&gt;0,", ","")&amp;"Arachides","")&amp;IF(J22="X",IF(COUNTIF($E22:$I22,"X")&gt;0,", ","")&amp;"Soja","")&amp;IF(K22="X",IF(COUNTIF($E22:$J22,"X")&gt;0,", ","")&amp;"Lait","")&amp;IF(L22="X",IF(COUNTIF($E22:$K22,"X")&gt;0,", ","")&amp;"Fruits à coque","")&amp;IF(M22="X",IF(COUNTIF($E22:$L22,"X")&gt;0,", ","")&amp;"Céleri","")&amp;IF(N22="X",IF(COUNTIF($E22:$M22,"X")&gt;0,", ","")&amp;"Moutarde","")&amp;IF(O22="X",IF(COUNTIF($E22:$N22,"X")&gt;0,", ","")&amp;"Sésame","")&amp;IF(P22="X",IF(COUNTIF($E22:$O22,"X")&gt;0,", ","")&amp;"Sulfites","")&amp;IF(Q22="X",IF(COUNTIF($E22:$P22,"X")&gt;0,", ","")&amp;"Lupin","")&amp;IF(R22="X",IF(COUNTIF($E22:$Q22,"X")&gt;0,", ","")&amp;"Mollusques","")),"")</f>
        <v>Arachides</v>
      </c>
      <c r="E22" s="233" t="str">
        <f>IF(22=22,IF($B22="","",IF(OR(ISNUMBER(SEARCH(" biere sans gluten ",$AA22)),ISNUMBER(SEARCH(" gluten free beer ",$AA22)),ISNUMBER(SEARCH(" beer gluten free ",$AA22))),"",IF(AF22="X","X",IF(OR(AF22="?",OR(ISNUMBER(SEARCH(" worcestershire ",$AA22)),ISNUMBER(SEARCH(" bloody mary ",$AA22)))),"?","")))),"")</f>
        <v/>
      </c>
      <c r="F22" s="233" t="str">
        <f>IF(22=22,IF($B22="","",AI22),"")</f>
        <v/>
      </c>
      <c r="G22" s="233" t="str">
        <f>IF(22=22,IF($B22="","",IF(OR(TRIM($AA22)="puree pate d amande",TRIM($AA22)="pate puree d amande",TRIM($AA22)="puree d amande",TRIM($AA22)="pate d amande",TRIM($AA22)="pate puree de noisette",TRIM($AA22)="puree pate de noisette",TRIM($AA22)="puree de noisette",TRIM($AA22)="pate de noisette"),"",IF(OR(AM22="X",OR(ISNUMBER(SEARCH(" macaron ",$AA22)),ISNUMBER(SEARCH(" egg nog ",$AA22)),ISNUMBER(SEARCH(" eggnog ",$AA22)))),"X",IF(OR(AM22="?",OR(ISNUMBER(SEARCH(" biscuit decoratif ",$AA22)),ISNUMBER(SEARCH(" whisky sour ",$AA22)),ISNUMBER(SEARCH(" whiskey sour ",$AA22)),ISNUMBER(SEARCH(" amaretto sour ",$AA22)),ISNUMBER(SEARCH(" pisco sour ",$AA22)),ISNUMBER(SEARCH(" clover club ",$AA22)),ISNUMBER(SEARCH(" ramos gin fizz ",$AA22)))),"?","")))),"")</f>
        <v/>
      </c>
      <c r="H22" s="233" t="str">
        <f>IF(22=22,IF($B22="","",IF(ISNUMBER(SEARCH(" colin ",$AA22)),"X",IF(AZ22="X","X",IF(OR(AZ22="?",OR(ISNUMBER(SEARCH(" worcestershire ",$AA22)),ISNUMBER(SEARCH(" bloody mary ",$AA22)))),"?","")))),"")</f>
        <v/>
      </c>
      <c r="I22" s="233" t="str">
        <f>IF(22=22,IF($B22="","",BB22),"")</f>
        <v>X</v>
      </c>
      <c r="J22" s="233" t="str">
        <f>IF(22=22,IF($B22="","",BF22),"")</f>
        <v/>
      </c>
      <c r="K22" s="233" t="str">
        <f>IF(22=22,IF($B22="","",IF(OR(OR(TRIM($AA22)="puree pate d amande",TRIM($AA22)="pate puree d amande",TRIM($AA22)="puree d amande",TRIM($AA22)="pate d amande",TRIM($AA22)="pate puree de noisette",TRIM($AA22)="puree pate de noisette",TRIM($AA22)="puree de noisette",TRIM($AA22)="pate de noisette"),OR(TRIM($AA22)="beurre puree d arachide",TRIM($AA22)="beurre d arachide",TRIM($AA22)="puree d arachide"),OR(TRIM($AA22)="tahini puree de sesame",TRIM($AA22)="tahini",TRIM($AA22)="puree de sesame")),"",IF(OR(TRIM($AA22)="creme de cassis",TRIM($AA22)="creme de menthe",TRIM($AA22)="creme de cacao",TRIM($AA22)="creme de mure",TRIM($AA22)="creme de framboise",TRIM($AA22)="creme de peche",TRIM($AA22)="creme de banane",TRIM($AA22)="liqueur creme de coco",TRIM($AA22)="creme de coco",TRIM($AA22)="spiritueux aromatise arrange creme de spiritueux"),"?",IF(OR(BM22="X",OR(ISNUMBER(SEARCH(" baileys ",$AA22)),ISNUMBER(SEARCH(" irish cream ",$AA22)),ISNUMBER(SEARCH(" creme de whisky ",$AA22)))),"X",IF(OR(BM22="?",OR(OR(TRIM($AA22)="creme de cassis",TRIM($AA22)="creme de menthe",TRIM($AA22)="creme de cacao",TRIM($AA22)="creme de mure",TRIM($AA22)="creme de framboise",TRIM($AA22)="creme de peche",TRIM($AA22)="creme de banane",TRIM($AA22)="liqueur creme de coco",TRIM($AA22)="creme de coco",TRIM($AA22)="spiritueux aromatise arrange creme de spiritueux"),ISNUMBER(SEARCH(" advocaat ",$AA22)),ISNUMBER(SEARCH(" liqueur aux oeufs ",$AA22)),ISNUMBER(SEARCH(" liqueur de chocolat ",$AA22)),ISNUMBER(SEARCH(" liqueur de caramel ",$AA22)),ISNUMBER(SEARCH(" sauce nappage chocolat ",$AA22)),ISNUMBER(SEARCH(" biscuit decoratif ",$AA22)),ISNUMBER(SEARCH(" white russian ",$AA22)),ISNUMBER(SEARCH(" grasshopper ",$AA22)),ISNUMBER(SEARCH(" irish coffee ",$AA22)),ISNUMBER(SEARCH(" ramos gin fizz ",$AA22)),ISNUMBER(SEARCH(" egg nog ",$AA22)),ISNUMBER(SEARCH(" eggnog ",$AA22)))),"?",""))))),"")</f>
        <v/>
      </c>
      <c r="L22" s="233" t="str">
        <f>IF(22=22,IF($B22="","",IF(OR(BQ22="X",OR(OR(TRIM($AA22)="puree pate d amande",TRIM($AA22)="pate puree d amande",TRIM($AA22)="puree d amande",TRIM($AA22)="pate d amande",TRIM($AA22)="pate puree de noisette",TRIM($AA22)="puree pate de noisette",TRIM($AA22)="puree de noisette",TRIM($AA22)="pate de noisette"),ISNUMBER(SEARCH(" macaron ",$AA22)),TRIM($AA22)="fruits a coque")),"X",IF(OR(BQ22="?",OR(ISNUMBER(SEARCH(" sirop d orgeat ",$AA22)),ISNUMBER(SEARCH(" orgeat ",$AA22)),ISNUMBER(SEARCH(" amaretto ",$AA22)))),"?",""))),"")</f>
        <v/>
      </c>
      <c r="M22" s="233" t="str">
        <f>IF(22=22,IF($B22="","",IF(OR(OR(TRIM($AA22)="puree pate d amande",TRIM($AA22)="pate puree d amande",TRIM($AA22)="puree d amande",TRIM($AA22)="pate d amande",TRIM($AA22)="pate puree de noisette",TRIM($AA22)="puree pate de noisette",TRIM($AA22)="puree de noisette",TRIM($AA22)="pate de noisette"),OR(TRIM($AA22)="tahini puree de sesame",TRIM($AA22)="tahini",TRIM($AA22)="puree de sesame")),"",IF(BT22="X","X",IF(OR(BT22="?",ISNUMBER(SEARCH(" bloody mary ",$AA22))),"?","")))),"")</f>
        <v/>
      </c>
      <c r="N22" s="233" t="str">
        <f>IF(22=22,IF($B22="","",IF(OR(OR(TRIM($AA22)="puree pate d amande",TRIM($AA22)="pate puree d amande",TRIM($AA22)="puree d amande",TRIM($AA22)="pate d amande",TRIM($AA22)="pate puree de noisette",TRIM($AA22)="puree pate de noisette",TRIM($AA22)="puree de noisette",TRIM($AA22)="pate de noisette"),OR(TRIM($AA22)="tahini puree de sesame",TRIM($AA22)="tahini",TRIM($AA22)="puree de sesame")),"",IF(BW22="X","X",IF(OR(BW22="?",ISNUMBER(SEARCH(" bloody mary ",$AA22))),"?","")))),"")</f>
        <v/>
      </c>
      <c r="O22" s="233" t="str">
        <f>IF(22=22,IF($B22="","",BZ22),"")</f>
        <v/>
      </c>
      <c r="P22" s="233" t="str">
        <f>IF(22=22,IF($B22="","",CC22),"")</f>
        <v/>
      </c>
      <c r="Q22" s="233" t="str">
        <f>IF(22=22,IF($B22="","",CF22),"")</f>
        <v/>
      </c>
      <c r="R22" s="233" t="str">
        <f>IF(22=22,IF($B22="","",IF(TRIM($AA22)="fruits a coque","",IF(CL22="X","X",IF(OR(CL22="?",OR(ISNUMBER(SEARCH(" clamato ",$AA22)),ISNUMBER(SEARCH(" bloody caesar ",$AA22)))),"?","")))),"")</f>
        <v/>
      </c>
      <c r="S22" s="234" t="str">
        <f>IF(22=22,IF($B22="","",IF(E22="?",""&amp;"Céréales contenant du gluten","")&amp;IF(F22="?",IF(COUNTIF($E22:$E22,"~?")&gt;0,", ","")&amp;"Crustacés","")&amp;IF(G22="?",IF(COUNTIF($E22:$F22,"~?")&gt;0,", ","")&amp;"Œufs","")&amp;IF(H22="?",IF(COUNTIF($E22:$G22,"~?")&gt;0,", ","")&amp;"Poissons","")&amp;IF(I22="?",IF(COUNTIF($E22:$H22,"~?")&gt;0,", ","")&amp;"Arachides","")&amp;IF(J22="?",IF(COUNTIF($E22:$I22,"~?")&gt;0,", ","")&amp;"Soja","")&amp;IF(K22="?",IF(COUNTIF($E22:$J22,"~?")&gt;0,", ","")&amp;"Lait","")&amp;IF(L22="?",IF(COUNTIF($E22:$K22,"~?")&gt;0,", ","")&amp;"Fruits à coque","")&amp;IF(M22="?",IF(COUNTIF($E22:$L22,"~?")&gt;0,", ","")&amp;"Céleri","")&amp;IF(N22="?",IF(COUNTIF($E22:$M22,"~?")&gt;0,", ","")&amp;"Moutarde","")&amp;IF(O22="?",IF(COUNTIF($E22:$N22,"~?")&gt;0,", ","")&amp;"Sésame","")&amp;IF(P22="?",IF(COUNTIF($E22:$O22,"~?")&gt;0,", ","")&amp;"Sulfites","")&amp;IF(Q22="?",IF(COUNTIF($E22:$P22,"~?")&gt;0,", ","")&amp;"Lupin","")&amp;IF(R22="?",IF(COUNTIF($E22:$Q22,"~?")&gt;0,", ","")&amp;"Mollusques","")),"")</f>
        <v/>
      </c>
      <c r="U22" s="209" t="str">
        <f>IF(22=22,IF($B22="","",$B22),"")</f>
        <v>Beurre / purée d'arachide</v>
      </c>
      <c r="V22" s="209" t="str">
        <f>IF(22=22,LOWER(CLEAN(SUBSTITUTE(SUBSTITUTE(SUBSTITUTE(SUBSTITUTE($U22,CHAR(160)," ")," "," "),CHAR(10)," "),CHAR(13)," "))),"")</f>
        <v>beurre / purée d'arachide</v>
      </c>
      <c r="W22" s="209" t="str">
        <f>IF(22=22,SUBSTITUTE(SUBSTITUTE(SUBSTITUTE(SUBSTITUTE(SUBSTITUTE(SUBSTITUTE(SUBSTITUTE(SUBSTITUTE(SUBSTITUTE(SUBSTITUTE(SUBSTITUTE(SUBSTITUTE($V22,"œ","oe"),"æ","ae"),"à","a"),"á","a"),"â","a"),"ä","a"),"ã","a"),"ç","c"),"è","e"),"é","e"),"ê","e"),"ë","e"),"")</f>
        <v>beurre / puree d'arachide</v>
      </c>
      <c r="X22" s="209" t="str">
        <f>IF(22=22,SUBSTITUTE(SUBSTITUTE(SUBSTITUTE(SUBSTITUTE(SUBSTITUTE(SUBSTITUTE(SUBSTITUTE(SUBSTITUTE(SUBSTITUTE(SUBSTITUTE(SUBSTITUTE(SUBSTITUTE(SUBSTITUTE(SUBSTITUTE(SUBSTITUTE(SUBSTITUTE($W22,"ì","i"),"í","i"),"î","i"),"ï","i"),"ñ","n"),"ò","o"),"ó","o"),"ô","o"),"ö","o"),"õ","o"),"ù","u"),"ú","u"),"û","u"),"ü","u"),"ý","y"),"ÿ","y"),"")</f>
        <v>beurre / puree d'arachide</v>
      </c>
      <c r="Y22" s="209" t="str">
        <f>IF(22=22,SUBSTITUTE(SUBSTITUTE(SUBSTITUTE(SUBSTITUTE(SUBSTITUTE(SUBSTITUTE(SUBSTITUTE(SUBSTITUTE(SUBSTITUTE(SUBSTITUTE(SUBSTITUTE(SUBSTITUTE(SUBSTITUTE(SUBSTITUTE($X22,"’"," "),"`"," "),"–"," "),"—"," "),"-"," "),"'"," "),"/"," "),"_"," "),","," "),"."," "),"("," "),")"," "),";"," "),":"," "),"")</f>
        <v>beurre   puree d arachide</v>
      </c>
      <c r="Z22" s="209" t="str">
        <f>IF(22=22,SUBSTITUTE(SUBSTITUTE(SUBSTITUTE(SUBSTITUTE(SUBSTITUTE(SUBSTITUTE(SUBSTITUTE(SUBSTITUTE(SUBSTITUTE(SUBSTITUTE(SUBSTITUTE(SUBSTITUTE(SUBSTITUTE(SUBSTITUTE(SUBSTITUTE($Y22,"!"," "),"?"," "),"+"," "),"*"," "),"&amp;"," "),"["," "),"]"," "),"{"," "),"}"," "),"%"," "),"="," "),"\"," "),"|"," "),"&lt;"," "),"&gt;"," "),"")</f>
        <v>beurre   puree d arachide</v>
      </c>
      <c r="AA22" s="209" t="str">
        <f>IF(22=22," "&amp;TRIM(SUBSTITUTE(SUBSTITUTE(SUBSTITUTE(SUBSTITUTE(SUBSTITUTE(SUBSTITUTE($Z22,CHAR(34)," "),"  "," "),"  "," "),"  "," "),"  "," "),"  "," "))&amp;" ","")</f>
        <v xml:space="preserve"> beurre puree d arachide </v>
      </c>
      <c r="AB22" s="209">
        <f>IF(22=22,IF($U22="","",SUMPRODUCT(--ISNUMBER(SEARCH(" "&amp;$CR$2:$CR$101&amp;" ",$AD22)))),"")</f>
        <v>0</v>
      </c>
      <c r="AC22" s="209">
        <f>IF(22=22,IF($U22="","",SUMPRODUCT(--ISNUMBER(SEARCH(" "&amp;$CR$102:$CR$151&amp;" ",$AD22)))),"")</f>
        <v>0</v>
      </c>
      <c r="AD22" s="209" t="str">
        <f t="shared" si="1"/>
        <v xml:space="preserve"> beurre puree d arachide </v>
      </c>
      <c r="AE22" s="209">
        <f t="shared" si="2"/>
        <v>0</v>
      </c>
      <c r="AF22" s="209" t="str">
        <f>IF(22=22,IF($U22="","",IF(SUM(AB22:AC22)+SUMPRODUCT(--ISNUMBER(SEARCH(" "&amp;$CR$2418:$CR$2420&amp;" ",$AD22)))&gt;0,"X",IF(AE22&gt;0,"?",""))),"")</f>
        <v/>
      </c>
      <c r="AG22" s="209">
        <f>IF(22=22,IF($U22="","",SUMPRODUCT(--ISNUMBER(SEARCH(" "&amp;$CR$206:$CR$305&amp;" ",$AA22)))),"")</f>
        <v>0</v>
      </c>
      <c r="AH22" s="209">
        <f>IF(22=22,IF($U22="","",SUMPRODUCT(--ISNUMBER(SEARCH(" "&amp;$CR$306:$CR$340&amp;" ",$AA22)))),"")</f>
        <v>0</v>
      </c>
      <c r="AI22" s="209" t="str">
        <f>IF(22=22,IF($U22="","",IF((SUM(AG22:AH22))-(0)&gt;0,"X",IF((0)-(0)&gt;0,"?",""))),"")</f>
        <v/>
      </c>
      <c r="AJ22" s="209">
        <f>IF(22=22,IF($U22="","",SUMPRODUCT(--ISNUMBER(SEARCH(" "&amp;$CR$341:$CR$398&amp;" ",$AA22)))),"")</f>
        <v>0</v>
      </c>
      <c r="AK22" s="209">
        <f>IF(22=22,IF($U22="","",SUMPRODUCT(--ISNUMBER(SEARCH(" "&amp;$CR$399:$CR$426&amp;" ",$AL22)))+SUMPRODUCT(--ISNUMBER(SEARCH(" "&amp;$CR$2440:$CR$2453&amp;" ",$AL22)))),"")</f>
        <v>0</v>
      </c>
      <c r="AL22" s="209" t="str">
        <f>IF(22=22,IF($U22="","",SUBSTITUTE(SUBSTITUTE(SUBSTITUTE(SUBSTITUTE(SUBSTITUTE(SUBSTITUTE(SUBSTITUTE(SUBSTITUTE(SUBSTITUTE(SUBSTITUTE(SUBSTITUTE(SUBSTITUTE(SUBSTITUTE(SUBSTITUTE($AA22,"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beurre puree d arachide </v>
      </c>
      <c r="AM22" s="209" t="str">
        <f>IF(22=22,IF($U22="","",IF(AJ22&gt;0,"X",IF(AK22&gt;0,"?",""))),"")</f>
        <v/>
      </c>
      <c r="AN22" s="209">
        <f>IF(22=22,IF($U22="","",SUMPRODUCT(--ISNUMBER(SEARCH(" "&amp;$CR$436:$CR$535&amp;" ",$AX22)))),"")</f>
        <v>0</v>
      </c>
      <c r="AO22" s="209">
        <f>IF(22=22,IF($U22="","",SUMPRODUCT(--ISNUMBER(SEARCH(" "&amp;$CR$536:$CR$635&amp;" ",$AX22)))),"")</f>
        <v>0</v>
      </c>
      <c r="AP22" s="209">
        <f>IF(22=22,IF($U22="","",SUMPRODUCT(--ISNUMBER(SEARCH(" "&amp;$CR$636:$CR$735&amp;" ",$AX22)))),"")</f>
        <v>0</v>
      </c>
      <c r="AQ22" s="209">
        <f>IF(22=22,IF($U22="","",SUMPRODUCT(--ISNUMBER(SEARCH(" "&amp;$CR$736:$CR$835&amp;" ",$AX22)))),"")</f>
        <v>0</v>
      </c>
      <c r="AR22" s="209">
        <f>IF(22=22,IF($U22="","",SUMPRODUCT(--ISNUMBER(SEARCH(" "&amp;$CR$836:$CR$935&amp;" ",$AX22)))),"")</f>
        <v>0</v>
      </c>
      <c r="AS22" s="209">
        <f>IF(22=22,IF($U22="","",SUMPRODUCT(--ISNUMBER(SEARCH(" "&amp;$CR$936:$CR$1035&amp;" ",$AX22)))),"")</f>
        <v>0</v>
      </c>
      <c r="AT22" s="209">
        <f>IF(22=22,IF($U22="","",SUMPRODUCT(--ISNUMBER(SEARCH(" "&amp;$CR$1036:$CR$1135&amp;" ",$AX22)))),"")</f>
        <v>0</v>
      </c>
      <c r="AU22" s="209">
        <f>IF(22=22,IF($U22="","",SUMPRODUCT(--ISNUMBER(SEARCH(" "&amp;$CR$1136:$CR$1235&amp;" ",$AX22)))),"")</f>
        <v>0</v>
      </c>
      <c r="AV22" s="209">
        <f>IF(22=22,IF($U22="","",SUMPRODUCT(--ISNUMBER(SEARCH(" "&amp;$CR$1236:$CR$1335&amp;" ",$AX22)))),"")</f>
        <v>0</v>
      </c>
      <c r="AW22" s="209">
        <f>IF(22=22,IF($U22="","",SUMPRODUCT(--ISNUMBER(SEARCH(" "&amp;$CR$1336:$CR$1363&amp;" ",$AX22)))),"")</f>
        <v>0</v>
      </c>
      <c r="AX22" s="209" t="str">
        <f>IF(22=22,IF($U22="","",SUBSTITUTE(SUBSTITUTE(SUBSTITUTE(SUBSTITUTE(SUBSTITUTE(SUBSTITUTE(SUBSTITUTE(SUBSTITUTE(SUBSTITUTE($AA22,"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beurre puree d arachide </v>
      </c>
      <c r="AY22" s="209">
        <f>IF(22=22,IF($U22="","",SUMPRODUCT(--ISNUMBER(SEARCH(" "&amp;$CR$1373:$CR$1383&amp;" ",$AX22)))),"")</f>
        <v>0</v>
      </c>
      <c r="AZ22" s="209" t="str">
        <f>IF(22=22,IF($U22="","",IF(SUM(AN22:AW22)+SUMPRODUCT(--ISNUMBER(SEARCH(" "&amp;$CR$2421:$CR$2422&amp;" ",$AX22)))&gt;0,"X",IF(AY22&gt;0,"?",""))),"")</f>
        <v/>
      </c>
      <c r="BA22" s="209">
        <f>IF(22=22,IF($U22="","",SUMPRODUCT(--ISNUMBER(SEARCH(" "&amp;$CR$1384:$CR$1404&amp;" ",$AA22)))),"")</f>
        <v>1</v>
      </c>
      <c r="BB22" s="209" t="str">
        <f>IF(22=22,IF($U22="","",IF((BA22)-(0)&gt;0,"X",IF((0)-(0)&gt;0,"?",""))),"")</f>
        <v>X</v>
      </c>
      <c r="BC22" s="209">
        <f>IF(22=22,IF($U22="","",SUMPRODUCT(--ISNUMBER(SEARCH(" "&amp;$CR$1405:$CR$1442&amp;" ",$BD22)))),"")</f>
        <v>0</v>
      </c>
      <c r="BD22" s="209" t="str">
        <f>IF(22=22,IF($U22="","",SUBSTITUTE(SUBSTITUTE($AA22," "&amp;$CR$1443&amp;" "," ")," "&amp;$CR$1444&amp;" "," ")),"")</f>
        <v xml:space="preserve"> beurre puree d arachide </v>
      </c>
      <c r="BE22" s="209">
        <f>IF(22=22,IF($U22="","",SUMPRODUCT(--ISNUMBER(SEARCH(" "&amp;$CR$1445:$CR$1455&amp;" ",$BD22)))),"")</f>
        <v>0</v>
      </c>
      <c r="BF22" s="209" t="str">
        <f>IF(22=22,IF($U22="","",IF(BC22&gt;0,"X",IF(BE22&gt;0,"?",""))),"")</f>
        <v/>
      </c>
      <c r="BG22" s="209">
        <f>IF(22=22,IF($U22="","",SUMPRODUCT(--ISNUMBER(SEARCH(" "&amp;$CR$1456:$CR$1555&amp;" ",$BJ22)))),"")</f>
        <v>1</v>
      </c>
      <c r="BH22" s="209">
        <f>IF(22=22,IF($U22="","",SUMPRODUCT(--ISNUMBER(SEARCH(" "&amp;$CR$1556:$CR$1655&amp;" ",$BJ22)))),"")</f>
        <v>0</v>
      </c>
      <c r="BI22" s="209">
        <f>IF(22=22,IF($U22="","",SUMPRODUCT(--ISNUMBER(SEARCH(" "&amp;$CR$1656:$CR$1739&amp;" ",$BJ22)))),"")</f>
        <v>0</v>
      </c>
      <c r="BJ22" s="209" t="str">
        <f>IF(22=22,IF($U22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22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beurre puree d arachide </v>
      </c>
      <c r="BK22" s="209">
        <f>IF(22=22,IF($U22="","",SUMPRODUCT(--ISNUMBER(SEARCH(" "&amp;$CR$1790:$CR$1869&amp;" ",$BL22)))+SUMPRODUCT(--ISNUMBER(SEARCH(" "&amp;$CR$2440:$CR$2453&amp;" ",$BL22)))),"")</f>
        <v>1</v>
      </c>
      <c r="BL22" s="209" t="str">
        <f>IF(22=22,IF($U22="","",SUBSTITUTE(SUBSTITUTE(SUBSTITUTE(SUBSTITUTE(SUBSTITUTE(SUBSTITUTE(SUBSTITUTE(SUBSTITUTE(SUBSTITUTE(SUBSTITUTE(SUBSTITUTE(SUBSTITUTE(SUBSTITUTE($BJ22,"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beurre puree d arachide </v>
      </c>
      <c r="BM22" s="209" t="str">
        <f>IF(22=22,IF($U22="","",IF(SUM(BG22:BI22)+SUMPRODUCT(--ISNUMBER(SEARCH(" "&amp;$CR$2423:$CR$2424&amp;" ",$BJ22)))&gt;0,"X",IF(BK22&gt;0,"?",""))),"")</f>
        <v>X</v>
      </c>
      <c r="BN22" s="209">
        <f>IF(22=22,IF($U22="","",SUMPRODUCT(--ISNUMBER(SEARCH(" "&amp;$CR$1879:$CR$1936&amp;" ",$BO22)))),"")</f>
        <v>0</v>
      </c>
      <c r="BO22" s="209" t="str">
        <f>IF(22=22,IF($U22="","",SUBSTITUTE(SUBSTITUTE(SUBSTITUTE(SUBSTITUTE(SUBSTITUTE(SUBSTITUTE(SUBSTITUTE(SUBSTITUTE(SUBSTITUTE(SUBSTITUTE(SUBSTITUTE(SUBSTITUTE(SUBSTITUTE(SUBSTITUTE(SUBSTITUTE(SUBSTITUTE(SUBSTITUTE(SUBSTITUTE(SUBSTITUTE(SUBSTITUTE(SUBSTITUTE(SUBSTITUTE(SUBSTITUTE($AA22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beurre puree d arachide </v>
      </c>
      <c r="BP22" s="209">
        <f>IF(22=22,IF($U22="","",SUMPRODUCT(--ISNUMBER(SEARCH(" "&amp;$CR$1960:$CR$1976&amp;" ",$BO22)))),"")</f>
        <v>0</v>
      </c>
      <c r="BQ22" s="209" t="str">
        <f>IF(22=22,IF($U22="","",IF(BN22&gt;0,"X",IF(BP22&gt;0,"?",""))),"")</f>
        <v/>
      </c>
      <c r="BR22" s="209">
        <f>IF(22=22,IF($U22="","",SUMPRODUCT(--ISNUMBER(SEARCH(" "&amp;$CR$1977:$CR$1990&amp;" ",$AA22)))),"")</f>
        <v>0</v>
      </c>
      <c r="BS22" s="209">
        <f>IF(22=22,IF($U22="","",SUMPRODUCT(--ISNUMBER(SEARCH(" "&amp;$CR$1991:$CR$2005&amp;" ",$AA22)))),"")</f>
        <v>0</v>
      </c>
      <c r="BT22" s="209" t="str">
        <f>IF(22=22,IF($U22="","",IF((BR22)-(0)&gt;0,"X",IF((BS22)-(0)&gt;0,"?",""))),"")</f>
        <v/>
      </c>
      <c r="BU22" s="209">
        <f>IF(22=22,IF($U22="","",SUMPRODUCT(--ISNUMBER(SEARCH(" "&amp;$CR$2006:$CR$2023&amp;" ",$AA22)))),"")</f>
        <v>0</v>
      </c>
      <c r="BV22" s="209">
        <f>IF(22=22,IF($U22="","",SUMPRODUCT(--ISNUMBER(SEARCH(" "&amp;$CR$2024:$CR$2038&amp;" ",$AA22)))),"")</f>
        <v>0</v>
      </c>
      <c r="BW22" s="209" t="str">
        <f>IF(22=22,IF($U22="","",IF((BU22)-(0)&gt;0,"X",IF((BV22)-(0)&gt;0,"?",""))),"")</f>
        <v/>
      </c>
      <c r="BX22" s="209">
        <f>IF(22=22,IF($U22="","",SUMPRODUCT(--ISNUMBER(SEARCH(" "&amp;$CR$2039:$CR$2057&amp;" ",$AA22)))),"")</f>
        <v>0</v>
      </c>
      <c r="BY22" s="209">
        <f>IF(22=22,IF($U22="","",SUMPRODUCT(--ISNUMBER(SEARCH(" "&amp;$CR$2058:$CR$2072&amp;" ",$AA22)))),"")</f>
        <v>0</v>
      </c>
      <c r="BZ22" s="209" t="str">
        <f>IF(22=22,IF($U22="","",IF((BX22)-(0)&gt;0,"X",IF((BY22)-(0)&gt;0,"?",""))),"")</f>
        <v/>
      </c>
      <c r="CA22" s="209">
        <f>IF(22=22,IF($U22="","",SUMPRODUCT(--ISNUMBER(SEARCH(" "&amp;$CR$2073:$CR$2093&amp;" ",$AA22)))),"")</f>
        <v>0</v>
      </c>
      <c r="CB22" s="209">
        <f>IF(22=22,IF($U22="","",SUMPRODUCT(--ISNUMBER(SEARCH(" "&amp;$CR$2094:$CR$2133&amp;" ",SUBSTITUTE(SUBSTITUTE($AA22," "&amp;$CR$1367&amp;" "," ")," "&amp;$CR$1366&amp;" "," "))))+--ISNUMBER(SEARCH("poiré",$V22))),"")</f>
        <v>0</v>
      </c>
      <c r="CC22" s="209" t="str">
        <f>IF(22=22,IF($U22="","",IF(OR(CA22&gt;0,ISNUMBER(SEARCH(" vinaigre de vin ",$AA22)),ISNUMBER(SEARCH(" vinaigre au vin ",$AA22))),"X",IF(CB22&gt;0,"?",""))),"")</f>
        <v/>
      </c>
      <c r="CD22" s="209">
        <f>IF(22=22,IF($U22="","",SUMPRODUCT(--ISNUMBER(SEARCH(" "&amp;$CR$2134:$CR$2146&amp;" ",$AA22)))),"")</f>
        <v>0</v>
      </c>
      <c r="CE22" s="209">
        <f>IF(22=22,IF($U22="","",SUMPRODUCT(--ISNUMBER(SEARCH(" "&amp;$CR$2147:$CR$2152&amp;" ",$AA22)))),"")</f>
        <v>0</v>
      </c>
      <c r="CF22" s="209" t="str">
        <f>IF(22=22,IF($U22="","",IF((CD22)-(0)&gt;0,"X",IF((CE22)-(0)&gt;0,"?",""))),"")</f>
        <v/>
      </c>
      <c r="CG22" s="209">
        <f>IF(22=22,IF($U22="","",SUMPRODUCT(--ISNUMBER(SEARCH(" "&amp;$CR$2153:$CR$2252&amp;" ",$CJ22)))),"")</f>
        <v>0</v>
      </c>
      <c r="CH22" s="209">
        <f>IF(22=22,IF($U22="","",SUMPRODUCT(--ISNUMBER(SEARCH(" "&amp;$CR$2253:$CR$2352&amp;" ",$CJ22)))),"")</f>
        <v>0</v>
      </c>
      <c r="CI22" s="209">
        <f>IF(22=22,IF($U22="","",SUMPRODUCT(--ISNUMBER(SEARCH(" "&amp;$CR$2353:$CR$2395&amp;" ",$CJ22)))),"")</f>
        <v>0</v>
      </c>
      <c r="CJ22" s="209" t="str">
        <f>IF(22=22,IF($U22="","",SUBSTITUTE(SUBSTITUTE(SUBSTITUTE(SUBSTITUTE(SUBSTITUTE(SUBSTITUTE(SUBSTITUTE(SUBSTITUTE(SUBSTITUTE(SUBSTITUTE(SUBSTITUTE(SUBSTITUTE(SUBSTITUTE(SUBSTITUTE(SUBSTITUTE(SUBSTITUTE($AA22,"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beurre puree d arachide </v>
      </c>
      <c r="CK22" s="209">
        <f>IF(22=22,IF($U22="","",SUMPRODUCT(--ISNUMBER(SEARCH(" "&amp;$CR$2412:$CR$2416&amp;" ",$CJ22)))),"")</f>
        <v>0</v>
      </c>
      <c r="CL22" s="209" t="str">
        <f>IF(22=22,IF($U22="","",IF(SUM(CG22:CI22)&gt;0,"X",IF(CK22&gt;0,"?",""))),"")</f>
        <v/>
      </c>
      <c r="CM22" s="210"/>
      <c r="CN22" s="213" t="s">
        <v>1010</v>
      </c>
      <c r="CO22" s="213" t="s">
        <v>878</v>
      </c>
      <c r="CP22" s="213" t="s">
        <v>879</v>
      </c>
      <c r="CQ22" s="213" t="s">
        <v>1011</v>
      </c>
      <c r="CR22" s="213" t="s">
        <v>1011</v>
      </c>
      <c r="CS22" s="213" t="s">
        <v>881</v>
      </c>
      <c r="CT22" s="213" t="s">
        <v>882</v>
      </c>
      <c r="CU22" s="213" t="s">
        <v>883</v>
      </c>
      <c r="CV22" s="214" t="s">
        <v>884</v>
      </c>
      <c r="CX22" s="212">
        <v>1</v>
      </c>
    </row>
    <row r="23" spans="1:102" ht="21" customHeight="1">
      <c r="A23" s="229">
        <v>17</v>
      </c>
      <c r="B23" s="230" t="s">
        <v>6501</v>
      </c>
      <c r="C23" s="231" t="str">
        <f t="shared" si="0"/>
        <v>Tahini / purée de sésame *</v>
      </c>
      <c r="D23" s="232" t="str">
        <f>IF(23=23,IF($B23="","",IF(E23="X",""&amp;"Céréales contenant du gluten","")&amp;IF(F23="X",IF(COUNTIF($E23:$E23,"X")&gt;0,", ","")&amp;"Crustacés","")&amp;IF(G23="X",IF(COUNTIF($E23:$F23,"X")&gt;0,", ","")&amp;"Œufs","")&amp;IF(H23="X",IF(COUNTIF($E23:$G23,"X")&gt;0,", ","")&amp;"Poissons","")&amp;IF(I23="X",IF(COUNTIF($E23:$H23,"X")&gt;0,", ","")&amp;"Arachides","")&amp;IF(J23="X",IF(COUNTIF($E23:$I23,"X")&gt;0,", ","")&amp;"Soja","")&amp;IF(K23="X",IF(COUNTIF($E23:$J23,"X")&gt;0,", ","")&amp;"Lait","")&amp;IF(L23="X",IF(COUNTIF($E23:$K23,"X")&gt;0,", ","")&amp;"Fruits à coque","")&amp;IF(M23="X",IF(COUNTIF($E23:$L23,"X")&gt;0,", ","")&amp;"Céleri","")&amp;IF(N23="X",IF(COUNTIF($E23:$M23,"X")&gt;0,", ","")&amp;"Moutarde","")&amp;IF(O23="X",IF(COUNTIF($E23:$N23,"X")&gt;0,", ","")&amp;"Sésame","")&amp;IF(P23="X",IF(COUNTIF($E23:$O23,"X")&gt;0,", ","")&amp;"Sulfites","")&amp;IF(Q23="X",IF(COUNTIF($E23:$P23,"X")&gt;0,", ","")&amp;"Lupin","")&amp;IF(R23="X",IF(COUNTIF($E23:$Q23,"X")&gt;0,", ","")&amp;"Mollusques","")),"")</f>
        <v>Sésame</v>
      </c>
      <c r="E23" s="233" t="str">
        <f>IF(23=23,IF($B23="","",IF(OR(ISNUMBER(SEARCH(" biere sans gluten ",$AA23)),ISNUMBER(SEARCH(" gluten free beer ",$AA23)),ISNUMBER(SEARCH(" beer gluten free ",$AA23))),"",IF(AF23="X","X",IF(OR(AF23="?",OR(ISNUMBER(SEARCH(" worcestershire ",$AA23)),ISNUMBER(SEARCH(" bloody mary ",$AA23)))),"?","")))),"")</f>
        <v/>
      </c>
      <c r="F23" s="233" t="str">
        <f>IF(23=23,IF($B23="","",AI23),"")</f>
        <v/>
      </c>
      <c r="G23" s="233" t="str">
        <f>IF(23=23,IF($B23="","",IF(OR(TRIM($AA23)="puree pate d amande",TRIM($AA23)="pate puree d amande",TRIM($AA23)="puree d amande",TRIM($AA23)="pate d amande",TRIM($AA23)="pate puree de noisette",TRIM($AA23)="puree pate de noisette",TRIM($AA23)="puree de noisette",TRIM($AA23)="pate de noisette"),"",IF(OR(AM23="X",OR(ISNUMBER(SEARCH(" macaron ",$AA23)),ISNUMBER(SEARCH(" egg nog ",$AA23)),ISNUMBER(SEARCH(" eggnog ",$AA23)))),"X",IF(OR(AM23="?",OR(ISNUMBER(SEARCH(" biscuit decoratif ",$AA23)),ISNUMBER(SEARCH(" whisky sour ",$AA23)),ISNUMBER(SEARCH(" whiskey sour ",$AA23)),ISNUMBER(SEARCH(" amaretto sour ",$AA23)),ISNUMBER(SEARCH(" pisco sour ",$AA23)),ISNUMBER(SEARCH(" clover club ",$AA23)),ISNUMBER(SEARCH(" ramos gin fizz ",$AA23)))),"?","")))),"")</f>
        <v/>
      </c>
      <c r="H23" s="233" t="str">
        <f>IF(23=23,IF($B23="","",IF(ISNUMBER(SEARCH(" colin ",$AA23)),"X",IF(AZ23="X","X",IF(OR(AZ23="?",OR(ISNUMBER(SEARCH(" worcestershire ",$AA23)),ISNUMBER(SEARCH(" bloody mary ",$AA23)))),"?","")))),"")</f>
        <v/>
      </c>
      <c r="I23" s="233" t="str">
        <f>IF(23=23,IF($B23="","",BB23),"")</f>
        <v/>
      </c>
      <c r="J23" s="233" t="str">
        <f>IF(23=23,IF($B23="","",BF23),"")</f>
        <v/>
      </c>
      <c r="K23" s="233" t="str">
        <f>IF(23=23,IF($B23="","",IF(OR(OR(TRIM($AA23)="puree pate d amande",TRIM($AA23)="pate puree d amande",TRIM($AA23)="puree d amande",TRIM($AA23)="pate d amande",TRIM($AA23)="pate puree de noisette",TRIM($AA23)="puree pate de noisette",TRIM($AA23)="puree de noisette",TRIM($AA23)="pate de noisette"),OR(TRIM($AA23)="beurre puree d arachide",TRIM($AA23)="beurre d arachide",TRIM($AA23)="puree d arachide"),OR(TRIM($AA23)="tahini puree de sesame",TRIM($AA23)="tahini",TRIM($AA23)="puree de sesame")),"",IF(OR(TRIM($AA23)="creme de cassis",TRIM($AA23)="creme de menthe",TRIM($AA23)="creme de cacao",TRIM($AA23)="creme de mure",TRIM($AA23)="creme de framboise",TRIM($AA23)="creme de peche",TRIM($AA23)="creme de banane",TRIM($AA23)="liqueur creme de coco",TRIM($AA23)="creme de coco",TRIM($AA23)="spiritueux aromatise arrange creme de spiritueux"),"?",IF(OR(BM23="X",OR(ISNUMBER(SEARCH(" baileys ",$AA23)),ISNUMBER(SEARCH(" irish cream ",$AA23)),ISNUMBER(SEARCH(" creme de whisky ",$AA23)))),"X",IF(OR(BM23="?",OR(OR(TRIM($AA23)="creme de cassis",TRIM($AA23)="creme de menthe",TRIM($AA23)="creme de cacao",TRIM($AA23)="creme de mure",TRIM($AA23)="creme de framboise",TRIM($AA23)="creme de peche",TRIM($AA23)="creme de banane",TRIM($AA23)="liqueur creme de coco",TRIM($AA23)="creme de coco",TRIM($AA23)="spiritueux aromatise arrange creme de spiritueux"),ISNUMBER(SEARCH(" advocaat ",$AA23)),ISNUMBER(SEARCH(" liqueur aux oeufs ",$AA23)),ISNUMBER(SEARCH(" liqueur de chocolat ",$AA23)),ISNUMBER(SEARCH(" liqueur de caramel ",$AA23)),ISNUMBER(SEARCH(" sauce nappage chocolat ",$AA23)),ISNUMBER(SEARCH(" biscuit decoratif ",$AA23)),ISNUMBER(SEARCH(" white russian ",$AA23)),ISNUMBER(SEARCH(" grasshopper ",$AA23)),ISNUMBER(SEARCH(" irish coffee ",$AA23)),ISNUMBER(SEARCH(" ramos gin fizz ",$AA23)),ISNUMBER(SEARCH(" egg nog ",$AA23)),ISNUMBER(SEARCH(" eggnog ",$AA23)))),"?",""))))),"")</f>
        <v/>
      </c>
      <c r="L23" s="233" t="str">
        <f>IF(23=23,IF($B23="","",IF(OR(BQ23="X",OR(OR(TRIM($AA23)="puree pate d amande",TRIM($AA23)="pate puree d amande",TRIM($AA23)="puree d amande",TRIM($AA23)="pate d amande",TRIM($AA23)="pate puree de noisette",TRIM($AA23)="puree pate de noisette",TRIM($AA23)="puree de noisette",TRIM($AA23)="pate de noisette"),ISNUMBER(SEARCH(" macaron ",$AA23)),TRIM($AA23)="fruits a coque")),"X",IF(OR(BQ23="?",OR(ISNUMBER(SEARCH(" sirop d orgeat ",$AA23)),ISNUMBER(SEARCH(" orgeat ",$AA23)),ISNUMBER(SEARCH(" amaretto ",$AA23)))),"?",""))),"")</f>
        <v/>
      </c>
      <c r="M23" s="233" t="str">
        <f>IF(23=23,IF($B23="","",IF(OR(OR(TRIM($AA23)="puree pate d amande",TRIM($AA23)="pate puree d amande",TRIM($AA23)="puree d amande",TRIM($AA23)="pate d amande",TRIM($AA23)="pate puree de noisette",TRIM($AA23)="puree pate de noisette",TRIM($AA23)="puree de noisette",TRIM($AA23)="pate de noisette"),OR(TRIM($AA23)="tahini puree de sesame",TRIM($AA23)="tahini",TRIM($AA23)="puree de sesame")),"",IF(BT23="X","X",IF(OR(BT23="?",ISNUMBER(SEARCH(" bloody mary ",$AA23))),"?","")))),"")</f>
        <v/>
      </c>
      <c r="N23" s="233" t="str">
        <f>IF(23=23,IF($B23="","",IF(OR(OR(TRIM($AA23)="puree pate d amande",TRIM($AA23)="pate puree d amande",TRIM($AA23)="puree d amande",TRIM($AA23)="pate d amande",TRIM($AA23)="pate puree de noisette",TRIM($AA23)="puree pate de noisette",TRIM($AA23)="puree de noisette",TRIM($AA23)="pate de noisette"),OR(TRIM($AA23)="tahini puree de sesame",TRIM($AA23)="tahini",TRIM($AA23)="puree de sesame")),"",IF(BW23="X","X",IF(OR(BW23="?",ISNUMBER(SEARCH(" bloody mary ",$AA23))),"?","")))),"")</f>
        <v/>
      </c>
      <c r="O23" s="233" t="str">
        <f>IF(23=23,IF($B23="","",BZ23),"")</f>
        <v>X</v>
      </c>
      <c r="P23" s="233" t="str">
        <f>IF(23=23,IF($B23="","",CC23),"")</f>
        <v/>
      </c>
      <c r="Q23" s="233" t="str">
        <f>IF(23=23,IF($B23="","",CF23),"")</f>
        <v/>
      </c>
      <c r="R23" s="233" t="str">
        <f>IF(23=23,IF($B23="","",IF(TRIM($AA23)="fruits a coque","",IF(CL23="X","X",IF(OR(CL23="?",OR(ISNUMBER(SEARCH(" clamato ",$AA23)),ISNUMBER(SEARCH(" bloody caesar ",$AA23)))),"?","")))),"")</f>
        <v/>
      </c>
      <c r="S23" s="234" t="str">
        <f>IF(23=23,IF($B23="","",IF(E23="?",""&amp;"Céréales contenant du gluten","")&amp;IF(F23="?",IF(COUNTIF($E23:$E23,"~?")&gt;0,", ","")&amp;"Crustacés","")&amp;IF(G23="?",IF(COUNTIF($E23:$F23,"~?")&gt;0,", ","")&amp;"Œufs","")&amp;IF(H23="?",IF(COUNTIF($E23:$G23,"~?")&gt;0,", ","")&amp;"Poissons","")&amp;IF(I23="?",IF(COUNTIF($E23:$H23,"~?")&gt;0,", ","")&amp;"Arachides","")&amp;IF(J23="?",IF(COUNTIF($E23:$I23,"~?")&gt;0,", ","")&amp;"Soja","")&amp;IF(K23="?",IF(COUNTIF($E23:$J23,"~?")&gt;0,", ","")&amp;"Lait","")&amp;IF(L23="?",IF(COUNTIF($E23:$K23,"~?")&gt;0,", ","")&amp;"Fruits à coque","")&amp;IF(M23="?",IF(COUNTIF($E23:$L23,"~?")&gt;0,", ","")&amp;"Céleri","")&amp;IF(N23="?",IF(COUNTIF($E23:$M23,"~?")&gt;0,", ","")&amp;"Moutarde","")&amp;IF(O23="?",IF(COUNTIF($E23:$N23,"~?")&gt;0,", ","")&amp;"Sésame","")&amp;IF(P23="?",IF(COUNTIF($E23:$O23,"~?")&gt;0,", ","")&amp;"Sulfites","")&amp;IF(Q23="?",IF(COUNTIF($E23:$P23,"~?")&gt;0,", ","")&amp;"Lupin","")&amp;IF(R23="?",IF(COUNTIF($E23:$Q23,"~?")&gt;0,", ","")&amp;"Mollusques","")),"")</f>
        <v/>
      </c>
      <c r="U23" s="209" t="str">
        <f>IF(23=23,IF($B23="","",$B23),"")</f>
        <v>Tahini / purée de sésame</v>
      </c>
      <c r="V23" s="209" t="str">
        <f>IF(23=23,LOWER(CLEAN(SUBSTITUTE(SUBSTITUTE(SUBSTITUTE(SUBSTITUTE($U23,CHAR(160)," ")," "," "),CHAR(10)," "),CHAR(13)," "))),"")</f>
        <v>tahini / purée de sésame</v>
      </c>
      <c r="W23" s="209" t="str">
        <f>IF(23=23,SUBSTITUTE(SUBSTITUTE(SUBSTITUTE(SUBSTITUTE(SUBSTITUTE(SUBSTITUTE(SUBSTITUTE(SUBSTITUTE(SUBSTITUTE(SUBSTITUTE(SUBSTITUTE(SUBSTITUTE($V23,"œ","oe"),"æ","ae"),"à","a"),"á","a"),"â","a"),"ä","a"),"ã","a"),"ç","c"),"è","e"),"é","e"),"ê","e"),"ë","e"),"")</f>
        <v>tahini / puree de sesame</v>
      </c>
      <c r="X23" s="209" t="str">
        <f>IF(23=23,SUBSTITUTE(SUBSTITUTE(SUBSTITUTE(SUBSTITUTE(SUBSTITUTE(SUBSTITUTE(SUBSTITUTE(SUBSTITUTE(SUBSTITUTE(SUBSTITUTE(SUBSTITUTE(SUBSTITUTE(SUBSTITUTE(SUBSTITUTE(SUBSTITUTE(SUBSTITUTE($W23,"ì","i"),"í","i"),"î","i"),"ï","i"),"ñ","n"),"ò","o"),"ó","o"),"ô","o"),"ö","o"),"õ","o"),"ù","u"),"ú","u"),"û","u"),"ü","u"),"ý","y"),"ÿ","y"),"")</f>
        <v>tahini / puree de sesame</v>
      </c>
      <c r="Y23" s="209" t="str">
        <f>IF(23=23,SUBSTITUTE(SUBSTITUTE(SUBSTITUTE(SUBSTITUTE(SUBSTITUTE(SUBSTITUTE(SUBSTITUTE(SUBSTITUTE(SUBSTITUTE(SUBSTITUTE(SUBSTITUTE(SUBSTITUTE(SUBSTITUTE(SUBSTITUTE($X23,"’"," "),"`"," "),"–"," "),"—"," "),"-"," "),"'"," "),"/"," "),"_"," "),","," "),"."," "),"("," "),")"," "),";"," "),":"," "),"")</f>
        <v>tahini   puree de sesame</v>
      </c>
      <c r="Z23" s="209" t="str">
        <f>IF(23=23,SUBSTITUTE(SUBSTITUTE(SUBSTITUTE(SUBSTITUTE(SUBSTITUTE(SUBSTITUTE(SUBSTITUTE(SUBSTITUTE(SUBSTITUTE(SUBSTITUTE(SUBSTITUTE(SUBSTITUTE(SUBSTITUTE(SUBSTITUTE(SUBSTITUTE($Y23,"!"," "),"?"," "),"+"," "),"*"," "),"&amp;"," "),"["," "),"]"," "),"{"," "),"}"," "),"%"," "),"="," "),"\"," "),"|"," "),"&lt;"," "),"&gt;"," "),"")</f>
        <v>tahini   puree de sesame</v>
      </c>
      <c r="AA23" s="209" t="str">
        <f>IF(23=23," "&amp;TRIM(SUBSTITUTE(SUBSTITUTE(SUBSTITUTE(SUBSTITUTE(SUBSTITUTE(SUBSTITUTE($Z23,CHAR(34)," "),"  "," "),"  "," "),"  "," "),"  "," "),"  "," "))&amp;" ","")</f>
        <v xml:space="preserve"> tahini puree de sesame </v>
      </c>
      <c r="AB23" s="209">
        <f>IF(23=23,IF($U23="","",SUMPRODUCT(--ISNUMBER(SEARCH(" "&amp;$CR$2:$CR$101&amp;" ",$AD23)))),"")</f>
        <v>0</v>
      </c>
      <c r="AC23" s="209">
        <f>IF(23=23,IF($U23="","",SUMPRODUCT(--ISNUMBER(SEARCH(" "&amp;$CR$102:$CR$151&amp;" ",$AD23)))),"")</f>
        <v>0</v>
      </c>
      <c r="AD23" s="209" t="str">
        <f t="shared" si="1"/>
        <v xml:space="preserve"> tahini puree de sesame </v>
      </c>
      <c r="AE23" s="209">
        <f t="shared" si="2"/>
        <v>0</v>
      </c>
      <c r="AF23" s="209" t="str">
        <f>IF(23=23,IF($U23="","",IF(SUM(AB23:AC23)+SUMPRODUCT(--ISNUMBER(SEARCH(" "&amp;$CR$2418:$CR$2420&amp;" ",$AD23)))&gt;0,"X",IF(AE23&gt;0,"?",""))),"")</f>
        <v/>
      </c>
      <c r="AG23" s="209">
        <f>IF(23=23,IF($U23="","",SUMPRODUCT(--ISNUMBER(SEARCH(" "&amp;$CR$206:$CR$305&amp;" ",$AA23)))),"")</f>
        <v>0</v>
      </c>
      <c r="AH23" s="209">
        <f>IF(23=23,IF($U23="","",SUMPRODUCT(--ISNUMBER(SEARCH(" "&amp;$CR$306:$CR$340&amp;" ",$AA23)))),"")</f>
        <v>0</v>
      </c>
      <c r="AI23" s="209" t="str">
        <f>IF(23=23,IF($U23="","",IF((SUM(AG23:AH23))-(0)&gt;0,"X",IF((0)-(0)&gt;0,"?",""))),"")</f>
        <v/>
      </c>
      <c r="AJ23" s="209">
        <f>IF(23=23,IF($U23="","",SUMPRODUCT(--ISNUMBER(SEARCH(" "&amp;$CR$341:$CR$398&amp;" ",$AA23)))),"")</f>
        <v>0</v>
      </c>
      <c r="AK23" s="209">
        <f>IF(23=23,IF($U23="","",SUMPRODUCT(--ISNUMBER(SEARCH(" "&amp;$CR$399:$CR$426&amp;" ",$AL23)))+SUMPRODUCT(--ISNUMBER(SEARCH(" "&amp;$CR$2440:$CR$2453&amp;" ",$AL23)))),"")</f>
        <v>0</v>
      </c>
      <c r="AL23" s="209" t="str">
        <f>IF(23=23,IF($U23="","",SUBSTITUTE(SUBSTITUTE(SUBSTITUTE(SUBSTITUTE(SUBSTITUTE(SUBSTITUTE(SUBSTITUTE(SUBSTITUTE(SUBSTITUTE(SUBSTITUTE(SUBSTITUTE(SUBSTITUTE(SUBSTITUTE(SUBSTITUTE($AA23,"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tahini puree de sesame </v>
      </c>
      <c r="AM23" s="209" t="str">
        <f>IF(23=23,IF($U23="","",IF(AJ23&gt;0,"X",IF(AK23&gt;0,"?",""))),"")</f>
        <v/>
      </c>
      <c r="AN23" s="209">
        <f>IF(23=23,IF($U23="","",SUMPRODUCT(--ISNUMBER(SEARCH(" "&amp;$CR$436:$CR$535&amp;" ",$AX23)))),"")</f>
        <v>0</v>
      </c>
      <c r="AO23" s="209">
        <f>IF(23=23,IF($U23="","",SUMPRODUCT(--ISNUMBER(SEARCH(" "&amp;$CR$536:$CR$635&amp;" ",$AX23)))),"")</f>
        <v>0</v>
      </c>
      <c r="AP23" s="209">
        <f>IF(23=23,IF($U23="","",SUMPRODUCT(--ISNUMBER(SEARCH(" "&amp;$CR$636:$CR$735&amp;" ",$AX23)))),"")</f>
        <v>0</v>
      </c>
      <c r="AQ23" s="209">
        <f>IF(23=23,IF($U23="","",SUMPRODUCT(--ISNUMBER(SEARCH(" "&amp;$CR$736:$CR$835&amp;" ",$AX23)))),"")</f>
        <v>0</v>
      </c>
      <c r="AR23" s="209">
        <f>IF(23=23,IF($U23="","",SUMPRODUCT(--ISNUMBER(SEARCH(" "&amp;$CR$836:$CR$935&amp;" ",$AX23)))),"")</f>
        <v>0</v>
      </c>
      <c r="AS23" s="209">
        <f>IF(23=23,IF($U23="","",SUMPRODUCT(--ISNUMBER(SEARCH(" "&amp;$CR$936:$CR$1035&amp;" ",$AX23)))),"")</f>
        <v>0</v>
      </c>
      <c r="AT23" s="209">
        <f>IF(23=23,IF($U23="","",SUMPRODUCT(--ISNUMBER(SEARCH(" "&amp;$CR$1036:$CR$1135&amp;" ",$AX23)))),"")</f>
        <v>0</v>
      </c>
      <c r="AU23" s="209">
        <f>IF(23=23,IF($U23="","",SUMPRODUCT(--ISNUMBER(SEARCH(" "&amp;$CR$1136:$CR$1235&amp;" ",$AX23)))),"")</f>
        <v>0</v>
      </c>
      <c r="AV23" s="209">
        <f>IF(23=23,IF($U23="","",SUMPRODUCT(--ISNUMBER(SEARCH(" "&amp;$CR$1236:$CR$1335&amp;" ",$AX23)))),"")</f>
        <v>0</v>
      </c>
      <c r="AW23" s="209">
        <f>IF(23=23,IF($U23="","",SUMPRODUCT(--ISNUMBER(SEARCH(" "&amp;$CR$1336:$CR$1363&amp;" ",$AX23)))),"")</f>
        <v>0</v>
      </c>
      <c r="AX23" s="209" t="str">
        <f>IF(23=23,IF($U23="","",SUBSTITUTE(SUBSTITUTE(SUBSTITUTE(SUBSTITUTE(SUBSTITUTE(SUBSTITUTE(SUBSTITUTE(SUBSTITUTE(SUBSTITUTE($AA23,"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tahini puree de sesame </v>
      </c>
      <c r="AY23" s="209">
        <f>IF(23=23,IF($U23="","",SUMPRODUCT(--ISNUMBER(SEARCH(" "&amp;$CR$1373:$CR$1383&amp;" ",$AX23)))),"")</f>
        <v>0</v>
      </c>
      <c r="AZ23" s="209" t="str">
        <f>IF(23=23,IF($U23="","",IF(SUM(AN23:AW23)+SUMPRODUCT(--ISNUMBER(SEARCH(" "&amp;$CR$2421:$CR$2422&amp;" ",$AX23)))&gt;0,"X",IF(AY23&gt;0,"?",""))),"")</f>
        <v/>
      </c>
      <c r="BA23" s="209">
        <f>IF(23=23,IF($U23="","",SUMPRODUCT(--ISNUMBER(SEARCH(" "&amp;$CR$1384:$CR$1404&amp;" ",$AA23)))),"")</f>
        <v>0</v>
      </c>
      <c r="BB23" s="209" t="str">
        <f>IF(23=23,IF($U23="","",IF((BA23)-(0)&gt;0,"X",IF((0)-(0)&gt;0,"?",""))),"")</f>
        <v/>
      </c>
      <c r="BC23" s="209">
        <f>IF(23=23,IF($U23="","",SUMPRODUCT(--ISNUMBER(SEARCH(" "&amp;$CR$1405:$CR$1442&amp;" ",$BD23)))),"")</f>
        <v>0</v>
      </c>
      <c r="BD23" s="209" t="str">
        <f>IF(23=23,IF($U23="","",SUBSTITUTE(SUBSTITUTE($AA23," "&amp;$CR$1443&amp;" "," ")," "&amp;$CR$1444&amp;" "," ")),"")</f>
        <v xml:space="preserve"> tahini puree de sesame </v>
      </c>
      <c r="BE23" s="209">
        <f>IF(23=23,IF($U23="","",SUMPRODUCT(--ISNUMBER(SEARCH(" "&amp;$CR$1445:$CR$1455&amp;" ",$BD23)))),"")</f>
        <v>0</v>
      </c>
      <c r="BF23" s="209" t="str">
        <f>IF(23=23,IF($U23="","",IF(BC23&gt;0,"X",IF(BE23&gt;0,"?",""))),"")</f>
        <v/>
      </c>
      <c r="BG23" s="209">
        <f>IF(23=23,IF($U23="","",SUMPRODUCT(--ISNUMBER(SEARCH(" "&amp;$CR$1456:$CR$1555&amp;" ",$BJ23)))),"")</f>
        <v>0</v>
      </c>
      <c r="BH23" s="209">
        <f>IF(23=23,IF($U23="","",SUMPRODUCT(--ISNUMBER(SEARCH(" "&amp;$CR$1556:$CR$1655&amp;" ",$BJ23)))),"")</f>
        <v>0</v>
      </c>
      <c r="BI23" s="209">
        <f>IF(23=23,IF($U23="","",SUMPRODUCT(--ISNUMBER(SEARCH(" "&amp;$CR$1656:$CR$1739&amp;" ",$BJ23)))),"")</f>
        <v>0</v>
      </c>
      <c r="BJ23" s="209" t="str">
        <f>IF(23=23,IF($U23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23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tahini puree de sesame </v>
      </c>
      <c r="BK23" s="209">
        <f>IF(23=23,IF($U23="","",SUMPRODUCT(--ISNUMBER(SEARCH(" "&amp;$CR$1790:$CR$1869&amp;" ",$BL23)))+SUMPRODUCT(--ISNUMBER(SEARCH(" "&amp;$CR$2440:$CR$2453&amp;" ",$BL23)))),"")</f>
        <v>1</v>
      </c>
      <c r="BL23" s="209" t="str">
        <f>IF(23=23,IF($U23="","",SUBSTITUTE(SUBSTITUTE(SUBSTITUTE(SUBSTITUTE(SUBSTITUTE(SUBSTITUTE(SUBSTITUTE(SUBSTITUTE(SUBSTITUTE(SUBSTITUTE(SUBSTITUTE(SUBSTITUTE(SUBSTITUTE($BJ23,"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tahini puree de sesame </v>
      </c>
      <c r="BM23" s="209" t="str">
        <f>IF(23=23,IF($U23="","",IF(SUM(BG23:BI23)+SUMPRODUCT(--ISNUMBER(SEARCH(" "&amp;$CR$2423:$CR$2424&amp;" ",$BJ23)))&gt;0,"X",IF(BK23&gt;0,"?",""))),"")</f>
        <v>?</v>
      </c>
      <c r="BN23" s="209">
        <f>IF(23=23,IF($U23="","",SUMPRODUCT(--ISNUMBER(SEARCH(" "&amp;$CR$1879:$CR$1936&amp;" ",$BO23)))),"")</f>
        <v>0</v>
      </c>
      <c r="BO23" s="209" t="str">
        <f>IF(23=23,IF($U23="","",SUBSTITUTE(SUBSTITUTE(SUBSTITUTE(SUBSTITUTE(SUBSTITUTE(SUBSTITUTE(SUBSTITUTE(SUBSTITUTE(SUBSTITUTE(SUBSTITUTE(SUBSTITUTE(SUBSTITUTE(SUBSTITUTE(SUBSTITUTE(SUBSTITUTE(SUBSTITUTE(SUBSTITUTE(SUBSTITUTE(SUBSTITUTE(SUBSTITUTE(SUBSTITUTE(SUBSTITUTE(SUBSTITUTE($AA23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tahini puree de sesame </v>
      </c>
      <c r="BP23" s="209">
        <f>IF(23=23,IF($U23="","",SUMPRODUCT(--ISNUMBER(SEARCH(" "&amp;$CR$1960:$CR$1976&amp;" ",$BO23)))),"")</f>
        <v>0</v>
      </c>
      <c r="BQ23" s="209" t="str">
        <f>IF(23=23,IF($U23="","",IF(BN23&gt;0,"X",IF(BP23&gt;0,"?",""))),"")</f>
        <v/>
      </c>
      <c r="BR23" s="209">
        <f>IF(23=23,IF($U23="","",SUMPRODUCT(--ISNUMBER(SEARCH(" "&amp;$CR$1977:$CR$1990&amp;" ",$AA23)))),"")</f>
        <v>0</v>
      </c>
      <c r="BS23" s="209">
        <f>IF(23=23,IF($U23="","",SUMPRODUCT(--ISNUMBER(SEARCH(" "&amp;$CR$1991:$CR$2005&amp;" ",$AA23)))),"")</f>
        <v>0</v>
      </c>
      <c r="BT23" s="209" t="str">
        <f>IF(23=23,IF($U23="","",IF((BR23)-(0)&gt;0,"X",IF((BS23)-(0)&gt;0,"?",""))),"")</f>
        <v/>
      </c>
      <c r="BU23" s="209">
        <f>IF(23=23,IF($U23="","",SUMPRODUCT(--ISNUMBER(SEARCH(" "&amp;$CR$2006:$CR$2023&amp;" ",$AA23)))),"")</f>
        <v>0</v>
      </c>
      <c r="BV23" s="209">
        <f>IF(23=23,IF($U23="","",SUMPRODUCT(--ISNUMBER(SEARCH(" "&amp;$CR$2024:$CR$2038&amp;" ",$AA23)))),"")</f>
        <v>0</v>
      </c>
      <c r="BW23" s="209" t="str">
        <f>IF(23=23,IF($U23="","",IF((BU23)-(0)&gt;0,"X",IF((BV23)-(0)&gt;0,"?",""))),"")</f>
        <v/>
      </c>
      <c r="BX23" s="209">
        <f>IF(23=23,IF($U23="","",SUMPRODUCT(--ISNUMBER(SEARCH(" "&amp;$CR$2039:$CR$2057&amp;" ",$AA23)))),"")</f>
        <v>3</v>
      </c>
      <c r="BY23" s="209">
        <f>IF(23=23,IF($U23="","",SUMPRODUCT(--ISNUMBER(SEARCH(" "&amp;$CR$2058:$CR$2072&amp;" ",$AA23)))),"")</f>
        <v>0</v>
      </c>
      <c r="BZ23" s="209" t="str">
        <f>IF(23=23,IF($U23="","",IF((BX23)-(0)&gt;0,"X",IF((BY23)-(0)&gt;0,"?",""))),"")</f>
        <v>X</v>
      </c>
      <c r="CA23" s="209">
        <f>IF(23=23,IF($U23="","",SUMPRODUCT(--ISNUMBER(SEARCH(" "&amp;$CR$2073:$CR$2093&amp;" ",$AA23)))),"")</f>
        <v>0</v>
      </c>
      <c r="CB23" s="209">
        <f>IF(23=23,IF($U23="","",SUMPRODUCT(--ISNUMBER(SEARCH(" "&amp;$CR$2094:$CR$2133&amp;" ",SUBSTITUTE(SUBSTITUTE($AA23," "&amp;$CR$1367&amp;" "," ")," "&amp;$CR$1366&amp;" "," "))))+--ISNUMBER(SEARCH("poiré",$V23))),"")</f>
        <v>0</v>
      </c>
      <c r="CC23" s="209" t="str">
        <f>IF(23=23,IF($U23="","",IF(OR(CA23&gt;0,ISNUMBER(SEARCH(" vinaigre de vin ",$AA23)),ISNUMBER(SEARCH(" vinaigre au vin ",$AA23))),"X",IF(CB23&gt;0,"?",""))),"")</f>
        <v/>
      </c>
      <c r="CD23" s="209">
        <f>IF(23=23,IF($U23="","",SUMPRODUCT(--ISNUMBER(SEARCH(" "&amp;$CR$2134:$CR$2146&amp;" ",$AA23)))),"")</f>
        <v>0</v>
      </c>
      <c r="CE23" s="209">
        <f>IF(23=23,IF($U23="","",SUMPRODUCT(--ISNUMBER(SEARCH(" "&amp;$CR$2147:$CR$2152&amp;" ",$AA23)))),"")</f>
        <v>0</v>
      </c>
      <c r="CF23" s="209" t="str">
        <f>IF(23=23,IF($U23="","",IF((CD23)-(0)&gt;0,"X",IF((CE23)-(0)&gt;0,"?",""))),"")</f>
        <v/>
      </c>
      <c r="CG23" s="209">
        <f>IF(23=23,IF($U23="","",SUMPRODUCT(--ISNUMBER(SEARCH(" "&amp;$CR$2153:$CR$2252&amp;" ",$CJ23)))),"")</f>
        <v>0</v>
      </c>
      <c r="CH23" s="209">
        <f>IF(23=23,IF($U23="","",SUMPRODUCT(--ISNUMBER(SEARCH(" "&amp;$CR$2253:$CR$2352&amp;" ",$CJ23)))),"")</f>
        <v>0</v>
      </c>
      <c r="CI23" s="209">
        <f>IF(23=23,IF($U23="","",SUMPRODUCT(--ISNUMBER(SEARCH(" "&amp;$CR$2353:$CR$2395&amp;" ",$CJ23)))),"")</f>
        <v>0</v>
      </c>
      <c r="CJ23" s="209" t="str">
        <f>IF(23=23,IF($U23="","",SUBSTITUTE(SUBSTITUTE(SUBSTITUTE(SUBSTITUTE(SUBSTITUTE(SUBSTITUTE(SUBSTITUTE(SUBSTITUTE(SUBSTITUTE(SUBSTITUTE(SUBSTITUTE(SUBSTITUTE(SUBSTITUTE(SUBSTITUTE(SUBSTITUTE(SUBSTITUTE($AA23,"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tahini puree de sesame </v>
      </c>
      <c r="CK23" s="209">
        <f>IF(23=23,IF($U23="","",SUMPRODUCT(--ISNUMBER(SEARCH(" "&amp;$CR$2412:$CR$2416&amp;" ",$CJ23)))),"")</f>
        <v>0</v>
      </c>
      <c r="CL23" s="209" t="str">
        <f>IF(23=23,IF($U23="","",IF(SUM(CG23:CI23)&gt;0,"X",IF(CK23&gt;0,"?",""))),"")</f>
        <v/>
      </c>
      <c r="CM23" s="210"/>
      <c r="CN23" s="213" t="s">
        <v>1012</v>
      </c>
      <c r="CO23" s="213" t="s">
        <v>878</v>
      </c>
      <c r="CP23" s="213" t="s">
        <v>879</v>
      </c>
      <c r="CQ23" s="213" t="s">
        <v>1013</v>
      </c>
      <c r="CR23" s="213" t="s">
        <v>1013</v>
      </c>
      <c r="CS23" s="213" t="s">
        <v>881</v>
      </c>
      <c r="CT23" s="213" t="s">
        <v>882</v>
      </c>
      <c r="CU23" s="213" t="s">
        <v>883</v>
      </c>
      <c r="CV23" s="214" t="s">
        <v>884</v>
      </c>
      <c r="CX23" s="212">
        <v>1</v>
      </c>
    </row>
    <row r="24" spans="1:102" ht="21" customHeight="1">
      <c r="A24" s="229">
        <v>18</v>
      </c>
      <c r="B24" s="230" t="s">
        <v>6505</v>
      </c>
      <c r="C24" s="231" t="str">
        <f t="shared" si="0"/>
        <v>Sirop d'orgeat ?</v>
      </c>
      <c r="D24" s="232" t="str">
        <f>IF(24=24,IF($B24="","",IF(E24="X",""&amp;"Céréales contenant du gluten","")&amp;IF(F24="X",IF(COUNTIF($E24:$E24,"X")&gt;0,", ","")&amp;"Crustacés","")&amp;IF(G24="X",IF(COUNTIF($E24:$F24,"X")&gt;0,", ","")&amp;"Œufs","")&amp;IF(H24="X",IF(COUNTIF($E24:$G24,"X")&gt;0,", ","")&amp;"Poissons","")&amp;IF(I24="X",IF(COUNTIF($E24:$H24,"X")&gt;0,", ","")&amp;"Arachides","")&amp;IF(J24="X",IF(COUNTIF($E24:$I24,"X")&gt;0,", ","")&amp;"Soja","")&amp;IF(K24="X",IF(COUNTIF($E24:$J24,"X")&gt;0,", ","")&amp;"Lait","")&amp;IF(L24="X",IF(COUNTIF($E24:$K24,"X")&gt;0,", ","")&amp;"Fruits à coque","")&amp;IF(M24="X",IF(COUNTIF($E24:$L24,"X")&gt;0,", ","")&amp;"Céleri","")&amp;IF(N24="X",IF(COUNTIF($E24:$M24,"X")&gt;0,", ","")&amp;"Moutarde","")&amp;IF(O24="X",IF(COUNTIF($E24:$N24,"X")&gt;0,", ","")&amp;"Sésame","")&amp;IF(P24="X",IF(COUNTIF($E24:$O24,"X")&gt;0,", ","")&amp;"Sulfites","")&amp;IF(Q24="X",IF(COUNTIF($E24:$P24,"X")&gt;0,", ","")&amp;"Lupin","")&amp;IF(R24="X",IF(COUNTIF($E24:$Q24,"X")&gt;0,", ","")&amp;"Mollusques","")),"")</f>
        <v/>
      </c>
      <c r="E24" s="233" t="str">
        <f>IF(24=24,IF($B24="","",IF(OR(ISNUMBER(SEARCH(" biere sans gluten ",$AA24)),ISNUMBER(SEARCH(" gluten free beer ",$AA24)),ISNUMBER(SEARCH(" beer gluten free ",$AA24))),"",IF(AF24="X","X",IF(OR(AF24="?",OR(ISNUMBER(SEARCH(" worcestershire ",$AA24)),ISNUMBER(SEARCH(" bloody mary ",$AA24)))),"?","")))),"")</f>
        <v/>
      </c>
      <c r="F24" s="233" t="str">
        <f>IF(24=24,IF($B24="","",AI24),"")</f>
        <v/>
      </c>
      <c r="G24" s="233" t="str">
        <f>IF(24=24,IF($B24="","",IF(OR(TRIM($AA24)="puree pate d amande",TRIM($AA24)="pate puree d amande",TRIM($AA24)="puree d amande",TRIM($AA24)="pate d amande",TRIM($AA24)="pate puree de noisette",TRIM($AA24)="puree pate de noisette",TRIM($AA24)="puree de noisette",TRIM($AA24)="pate de noisette"),"",IF(OR(AM24="X",OR(ISNUMBER(SEARCH(" macaron ",$AA24)),ISNUMBER(SEARCH(" egg nog ",$AA24)),ISNUMBER(SEARCH(" eggnog ",$AA24)))),"X",IF(OR(AM24="?",OR(ISNUMBER(SEARCH(" biscuit decoratif ",$AA24)),ISNUMBER(SEARCH(" whisky sour ",$AA24)),ISNUMBER(SEARCH(" whiskey sour ",$AA24)),ISNUMBER(SEARCH(" amaretto sour ",$AA24)),ISNUMBER(SEARCH(" pisco sour ",$AA24)),ISNUMBER(SEARCH(" clover club ",$AA24)),ISNUMBER(SEARCH(" ramos gin fizz ",$AA24)))),"?","")))),"")</f>
        <v/>
      </c>
      <c r="H24" s="233" t="str">
        <f>IF(24=24,IF($B24="","",IF(ISNUMBER(SEARCH(" colin ",$AA24)),"X",IF(AZ24="X","X",IF(OR(AZ24="?",OR(ISNUMBER(SEARCH(" worcestershire ",$AA24)),ISNUMBER(SEARCH(" bloody mary ",$AA24)))),"?","")))),"")</f>
        <v/>
      </c>
      <c r="I24" s="233" t="str">
        <f>IF(24=24,IF($B24="","",BB24),"")</f>
        <v/>
      </c>
      <c r="J24" s="233" t="str">
        <f>IF(24=24,IF($B24="","",BF24),"")</f>
        <v/>
      </c>
      <c r="K24" s="233" t="str">
        <f>IF(24=24,IF($B24="","",IF(OR(OR(TRIM($AA24)="puree pate d amande",TRIM($AA24)="pate puree d amande",TRIM($AA24)="puree d amande",TRIM($AA24)="pate d amande",TRIM($AA24)="pate puree de noisette",TRIM($AA24)="puree pate de noisette",TRIM($AA24)="puree de noisette",TRIM($AA24)="pate de noisette"),OR(TRIM($AA24)="beurre puree d arachide",TRIM($AA24)="beurre d arachide",TRIM($AA24)="puree d arachide"),OR(TRIM($AA24)="tahini puree de sesame",TRIM($AA24)="tahini",TRIM($AA24)="puree de sesame")),"",IF(OR(TRIM($AA24)="creme de cassis",TRIM($AA24)="creme de menthe",TRIM($AA24)="creme de cacao",TRIM($AA24)="creme de mure",TRIM($AA24)="creme de framboise",TRIM($AA24)="creme de peche",TRIM($AA24)="creme de banane",TRIM($AA24)="liqueur creme de coco",TRIM($AA24)="creme de coco",TRIM($AA24)="spiritueux aromatise arrange creme de spiritueux"),"?",IF(OR(BM24="X",OR(ISNUMBER(SEARCH(" baileys ",$AA24)),ISNUMBER(SEARCH(" irish cream ",$AA24)),ISNUMBER(SEARCH(" creme de whisky ",$AA24)))),"X",IF(OR(BM24="?",OR(OR(TRIM($AA24)="creme de cassis",TRIM($AA24)="creme de menthe",TRIM($AA24)="creme de cacao",TRIM($AA24)="creme de mure",TRIM($AA24)="creme de framboise",TRIM($AA24)="creme de peche",TRIM($AA24)="creme de banane",TRIM($AA24)="liqueur creme de coco",TRIM($AA24)="creme de coco",TRIM($AA24)="spiritueux aromatise arrange creme de spiritueux"),ISNUMBER(SEARCH(" advocaat ",$AA24)),ISNUMBER(SEARCH(" liqueur aux oeufs ",$AA24)),ISNUMBER(SEARCH(" liqueur de chocolat ",$AA24)),ISNUMBER(SEARCH(" liqueur de caramel ",$AA24)),ISNUMBER(SEARCH(" sauce nappage chocolat ",$AA24)),ISNUMBER(SEARCH(" biscuit decoratif ",$AA24)),ISNUMBER(SEARCH(" white russian ",$AA24)),ISNUMBER(SEARCH(" grasshopper ",$AA24)),ISNUMBER(SEARCH(" irish coffee ",$AA24)),ISNUMBER(SEARCH(" ramos gin fizz ",$AA24)),ISNUMBER(SEARCH(" egg nog ",$AA24)),ISNUMBER(SEARCH(" eggnog ",$AA24)))),"?",""))))),"")</f>
        <v/>
      </c>
      <c r="L24" s="233" t="str">
        <f>IF(24=24,IF($B24="","",IF(OR(BQ24="X",OR(OR(TRIM($AA24)="puree pate d amande",TRIM($AA24)="pate puree d amande",TRIM($AA24)="puree d amande",TRIM($AA24)="pate d amande",TRIM($AA24)="pate puree de noisette",TRIM($AA24)="puree pate de noisette",TRIM($AA24)="puree de noisette",TRIM($AA24)="pate de noisette"),ISNUMBER(SEARCH(" macaron ",$AA24)),TRIM($AA24)="fruits a coque")),"X",IF(OR(BQ24="?",OR(ISNUMBER(SEARCH(" sirop d orgeat ",$AA24)),ISNUMBER(SEARCH(" orgeat ",$AA24)),ISNUMBER(SEARCH(" amaretto ",$AA24)))),"?",""))),"")</f>
        <v>?</v>
      </c>
      <c r="M24" s="233" t="str">
        <f>IF(24=24,IF($B24="","",IF(OR(OR(TRIM($AA24)="puree pate d amande",TRIM($AA24)="pate puree d amande",TRIM($AA24)="puree d amande",TRIM($AA24)="pate d amande",TRIM($AA24)="pate puree de noisette",TRIM($AA24)="puree pate de noisette",TRIM($AA24)="puree de noisette",TRIM($AA24)="pate de noisette"),OR(TRIM($AA24)="tahini puree de sesame",TRIM($AA24)="tahini",TRIM($AA24)="puree de sesame")),"",IF(BT24="X","X",IF(OR(BT24="?",ISNUMBER(SEARCH(" bloody mary ",$AA24))),"?","")))),"")</f>
        <v/>
      </c>
      <c r="N24" s="233" t="str">
        <f>IF(24=24,IF($B24="","",IF(OR(OR(TRIM($AA24)="puree pate d amande",TRIM($AA24)="pate puree d amande",TRIM($AA24)="puree d amande",TRIM($AA24)="pate d amande",TRIM($AA24)="pate puree de noisette",TRIM($AA24)="puree pate de noisette",TRIM($AA24)="puree de noisette",TRIM($AA24)="pate de noisette"),OR(TRIM($AA24)="tahini puree de sesame",TRIM($AA24)="tahini",TRIM($AA24)="puree de sesame")),"",IF(BW24="X","X",IF(OR(BW24="?",ISNUMBER(SEARCH(" bloody mary ",$AA24))),"?","")))),"")</f>
        <v/>
      </c>
      <c r="O24" s="233" t="str">
        <f>IF(24=24,IF($B24="","",BZ24),"")</f>
        <v/>
      </c>
      <c r="P24" s="233" t="str">
        <f>IF(24=24,IF($B24="","",CC24),"")</f>
        <v/>
      </c>
      <c r="Q24" s="233" t="str">
        <f>IF(24=24,IF($B24="","",CF24),"")</f>
        <v/>
      </c>
      <c r="R24" s="233" t="str">
        <f>IF(24=24,IF($B24="","",IF(TRIM($AA24)="fruits a coque","",IF(CL24="X","X",IF(OR(CL24="?",OR(ISNUMBER(SEARCH(" clamato ",$AA24)),ISNUMBER(SEARCH(" bloody caesar ",$AA24)))),"?","")))),"")</f>
        <v/>
      </c>
      <c r="S24" s="234" t="str">
        <f>IF(24=24,IF($B24="","",IF(E24="?",""&amp;"Céréales contenant du gluten","")&amp;IF(F24="?",IF(COUNTIF($E24:$E24,"~?")&gt;0,", ","")&amp;"Crustacés","")&amp;IF(G24="?",IF(COUNTIF($E24:$F24,"~?")&gt;0,", ","")&amp;"Œufs","")&amp;IF(H24="?",IF(COUNTIF($E24:$G24,"~?")&gt;0,", ","")&amp;"Poissons","")&amp;IF(I24="?",IF(COUNTIF($E24:$H24,"~?")&gt;0,", ","")&amp;"Arachides","")&amp;IF(J24="?",IF(COUNTIF($E24:$I24,"~?")&gt;0,", ","")&amp;"Soja","")&amp;IF(K24="?",IF(COUNTIF($E24:$J24,"~?")&gt;0,", ","")&amp;"Lait","")&amp;IF(L24="?",IF(COUNTIF($E24:$K24,"~?")&gt;0,", ","")&amp;"Fruits à coque","")&amp;IF(M24="?",IF(COUNTIF($E24:$L24,"~?")&gt;0,", ","")&amp;"Céleri","")&amp;IF(N24="?",IF(COUNTIF($E24:$M24,"~?")&gt;0,", ","")&amp;"Moutarde","")&amp;IF(O24="?",IF(COUNTIF($E24:$N24,"~?")&gt;0,", ","")&amp;"Sésame","")&amp;IF(P24="?",IF(COUNTIF($E24:$O24,"~?")&gt;0,", ","")&amp;"Sulfites","")&amp;IF(Q24="?",IF(COUNTIF($E24:$P24,"~?")&gt;0,", ","")&amp;"Lupin","")&amp;IF(R24="?",IF(COUNTIF($E24:$Q24,"~?")&gt;0,", ","")&amp;"Mollusques","")),"")</f>
        <v>Fruits à coque</v>
      </c>
      <c r="U24" s="209" t="str">
        <f>IF(24=24,IF($B24="","",$B24),"")</f>
        <v>Sirop d'orgeat</v>
      </c>
      <c r="V24" s="209" t="str">
        <f>IF(24=24,LOWER(CLEAN(SUBSTITUTE(SUBSTITUTE(SUBSTITUTE(SUBSTITUTE($U24,CHAR(160)," ")," "," "),CHAR(10)," "),CHAR(13)," "))),"")</f>
        <v>sirop d'orgeat</v>
      </c>
      <c r="W24" s="209" t="str">
        <f>IF(24=24,SUBSTITUTE(SUBSTITUTE(SUBSTITUTE(SUBSTITUTE(SUBSTITUTE(SUBSTITUTE(SUBSTITUTE(SUBSTITUTE(SUBSTITUTE(SUBSTITUTE(SUBSTITUTE(SUBSTITUTE($V24,"œ","oe"),"æ","ae"),"à","a"),"á","a"),"â","a"),"ä","a"),"ã","a"),"ç","c"),"è","e"),"é","e"),"ê","e"),"ë","e"),"")</f>
        <v>sirop d'orgeat</v>
      </c>
      <c r="X24" s="209" t="str">
        <f>IF(24=24,SUBSTITUTE(SUBSTITUTE(SUBSTITUTE(SUBSTITUTE(SUBSTITUTE(SUBSTITUTE(SUBSTITUTE(SUBSTITUTE(SUBSTITUTE(SUBSTITUTE(SUBSTITUTE(SUBSTITUTE(SUBSTITUTE(SUBSTITUTE(SUBSTITUTE(SUBSTITUTE($W24,"ì","i"),"í","i"),"î","i"),"ï","i"),"ñ","n"),"ò","o"),"ó","o"),"ô","o"),"ö","o"),"õ","o"),"ù","u"),"ú","u"),"û","u"),"ü","u"),"ý","y"),"ÿ","y"),"")</f>
        <v>sirop d'orgeat</v>
      </c>
      <c r="Y24" s="209" t="str">
        <f>IF(24=24,SUBSTITUTE(SUBSTITUTE(SUBSTITUTE(SUBSTITUTE(SUBSTITUTE(SUBSTITUTE(SUBSTITUTE(SUBSTITUTE(SUBSTITUTE(SUBSTITUTE(SUBSTITUTE(SUBSTITUTE(SUBSTITUTE(SUBSTITUTE($X24,"’"," "),"`"," "),"–"," "),"—"," "),"-"," "),"'"," "),"/"," "),"_"," "),","," "),"."," "),"("," "),")"," "),";"," "),":"," "),"")</f>
        <v>sirop d orgeat</v>
      </c>
      <c r="Z24" s="209" t="str">
        <f>IF(24=24,SUBSTITUTE(SUBSTITUTE(SUBSTITUTE(SUBSTITUTE(SUBSTITUTE(SUBSTITUTE(SUBSTITUTE(SUBSTITUTE(SUBSTITUTE(SUBSTITUTE(SUBSTITUTE(SUBSTITUTE(SUBSTITUTE(SUBSTITUTE(SUBSTITUTE($Y24,"!"," "),"?"," "),"+"," "),"*"," "),"&amp;"," "),"["," "),"]"," "),"{"," "),"}"," "),"%"," "),"="," "),"\"," "),"|"," "),"&lt;"," "),"&gt;"," "),"")</f>
        <v>sirop d orgeat</v>
      </c>
      <c r="AA24" s="209" t="str">
        <f>IF(24=24," "&amp;TRIM(SUBSTITUTE(SUBSTITUTE(SUBSTITUTE(SUBSTITUTE(SUBSTITUTE(SUBSTITUTE($Z24,CHAR(34)," "),"  "," "),"  "," "),"  "," "),"  "," "),"  "," "))&amp;" ","")</f>
        <v xml:space="preserve"> sirop d orgeat </v>
      </c>
      <c r="AB24" s="209">
        <f>IF(24=24,IF($U24="","",SUMPRODUCT(--ISNUMBER(SEARCH(" "&amp;$CR$2:$CR$101&amp;" ",$AD24)))),"")</f>
        <v>0</v>
      </c>
      <c r="AC24" s="209">
        <f>IF(24=24,IF($U24="","",SUMPRODUCT(--ISNUMBER(SEARCH(" "&amp;$CR$102:$CR$151&amp;" ",$AD24)))),"")</f>
        <v>0</v>
      </c>
      <c r="AD24" s="209" t="str">
        <f t="shared" si="1"/>
        <v xml:space="preserve"> sirop d orgeat </v>
      </c>
      <c r="AE24" s="209">
        <f t="shared" si="2"/>
        <v>0</v>
      </c>
      <c r="AF24" s="209" t="str">
        <f>IF(24=24,IF($U24="","",IF(SUM(AB24:AC24)+SUMPRODUCT(--ISNUMBER(SEARCH(" "&amp;$CR$2418:$CR$2420&amp;" ",$AD24)))&gt;0,"X",IF(AE24&gt;0,"?",""))),"")</f>
        <v/>
      </c>
      <c r="AG24" s="209">
        <f>IF(24=24,IF($U24="","",SUMPRODUCT(--ISNUMBER(SEARCH(" "&amp;$CR$206:$CR$305&amp;" ",$AA24)))),"")</f>
        <v>0</v>
      </c>
      <c r="AH24" s="209">
        <f>IF(24=24,IF($U24="","",SUMPRODUCT(--ISNUMBER(SEARCH(" "&amp;$CR$306:$CR$340&amp;" ",$AA24)))),"")</f>
        <v>0</v>
      </c>
      <c r="AI24" s="209" t="str">
        <f>IF(24=24,IF($U24="","",IF((SUM(AG24:AH24))-(0)&gt;0,"X",IF((0)-(0)&gt;0,"?",""))),"")</f>
        <v/>
      </c>
      <c r="AJ24" s="209">
        <f>IF(24=24,IF($U24="","",SUMPRODUCT(--ISNUMBER(SEARCH(" "&amp;$CR$341:$CR$398&amp;" ",$AA24)))),"")</f>
        <v>0</v>
      </c>
      <c r="AK24" s="209">
        <f>IF(24=24,IF($U24="","",SUMPRODUCT(--ISNUMBER(SEARCH(" "&amp;$CR$399:$CR$426&amp;" ",$AL24)))+SUMPRODUCT(--ISNUMBER(SEARCH(" "&amp;$CR$2440:$CR$2453&amp;" ",$AL24)))),"")</f>
        <v>0</v>
      </c>
      <c r="AL24" s="209" t="str">
        <f>IF(24=24,IF($U24="","",SUBSTITUTE(SUBSTITUTE(SUBSTITUTE(SUBSTITUTE(SUBSTITUTE(SUBSTITUTE(SUBSTITUTE(SUBSTITUTE(SUBSTITUTE(SUBSTITUTE(SUBSTITUTE(SUBSTITUTE(SUBSTITUTE(SUBSTITUTE($AA24,"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sirop d orgeat </v>
      </c>
      <c r="AM24" s="209" t="str">
        <f>IF(24=24,IF($U24="","",IF(AJ24&gt;0,"X",IF(AK24&gt;0,"?",""))),"")</f>
        <v/>
      </c>
      <c r="AN24" s="209">
        <f>IF(24=24,IF($U24="","",SUMPRODUCT(--ISNUMBER(SEARCH(" "&amp;$CR$436:$CR$535&amp;" ",$AX24)))),"")</f>
        <v>0</v>
      </c>
      <c r="AO24" s="209">
        <f>IF(24=24,IF($U24="","",SUMPRODUCT(--ISNUMBER(SEARCH(" "&amp;$CR$536:$CR$635&amp;" ",$AX24)))),"")</f>
        <v>0</v>
      </c>
      <c r="AP24" s="209">
        <f>IF(24=24,IF($U24="","",SUMPRODUCT(--ISNUMBER(SEARCH(" "&amp;$CR$636:$CR$735&amp;" ",$AX24)))),"")</f>
        <v>0</v>
      </c>
      <c r="AQ24" s="209">
        <f>IF(24=24,IF($U24="","",SUMPRODUCT(--ISNUMBER(SEARCH(" "&amp;$CR$736:$CR$835&amp;" ",$AX24)))),"")</f>
        <v>0</v>
      </c>
      <c r="AR24" s="209">
        <f>IF(24=24,IF($U24="","",SUMPRODUCT(--ISNUMBER(SEARCH(" "&amp;$CR$836:$CR$935&amp;" ",$AX24)))),"")</f>
        <v>0</v>
      </c>
      <c r="AS24" s="209">
        <f>IF(24=24,IF($U24="","",SUMPRODUCT(--ISNUMBER(SEARCH(" "&amp;$CR$936:$CR$1035&amp;" ",$AX24)))),"")</f>
        <v>0</v>
      </c>
      <c r="AT24" s="209">
        <f>IF(24=24,IF($U24="","",SUMPRODUCT(--ISNUMBER(SEARCH(" "&amp;$CR$1036:$CR$1135&amp;" ",$AX24)))),"")</f>
        <v>0</v>
      </c>
      <c r="AU24" s="209">
        <f>IF(24=24,IF($U24="","",SUMPRODUCT(--ISNUMBER(SEARCH(" "&amp;$CR$1136:$CR$1235&amp;" ",$AX24)))),"")</f>
        <v>0</v>
      </c>
      <c r="AV24" s="209">
        <f>IF(24=24,IF($U24="","",SUMPRODUCT(--ISNUMBER(SEARCH(" "&amp;$CR$1236:$CR$1335&amp;" ",$AX24)))),"")</f>
        <v>0</v>
      </c>
      <c r="AW24" s="209">
        <f>IF(24=24,IF($U24="","",SUMPRODUCT(--ISNUMBER(SEARCH(" "&amp;$CR$1336:$CR$1363&amp;" ",$AX24)))),"")</f>
        <v>0</v>
      </c>
      <c r="AX24" s="209" t="str">
        <f>IF(24=24,IF($U24="","",SUBSTITUTE(SUBSTITUTE(SUBSTITUTE(SUBSTITUTE(SUBSTITUTE(SUBSTITUTE(SUBSTITUTE(SUBSTITUTE(SUBSTITUTE($AA24,"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sirop d orgeat </v>
      </c>
      <c r="AY24" s="209">
        <f>IF(24=24,IF($U24="","",SUMPRODUCT(--ISNUMBER(SEARCH(" "&amp;$CR$1373:$CR$1383&amp;" ",$AX24)))),"")</f>
        <v>0</v>
      </c>
      <c r="AZ24" s="209" t="str">
        <f>IF(24=24,IF($U24="","",IF(SUM(AN24:AW24)+SUMPRODUCT(--ISNUMBER(SEARCH(" "&amp;$CR$2421:$CR$2422&amp;" ",$AX24)))&gt;0,"X",IF(AY24&gt;0,"?",""))),"")</f>
        <v/>
      </c>
      <c r="BA24" s="209">
        <f>IF(24=24,IF($U24="","",SUMPRODUCT(--ISNUMBER(SEARCH(" "&amp;$CR$1384:$CR$1404&amp;" ",$AA24)))),"")</f>
        <v>0</v>
      </c>
      <c r="BB24" s="209" t="str">
        <f>IF(24=24,IF($U24="","",IF((BA24)-(0)&gt;0,"X",IF((0)-(0)&gt;0,"?",""))),"")</f>
        <v/>
      </c>
      <c r="BC24" s="209">
        <f>IF(24=24,IF($U24="","",SUMPRODUCT(--ISNUMBER(SEARCH(" "&amp;$CR$1405:$CR$1442&amp;" ",$BD24)))),"")</f>
        <v>0</v>
      </c>
      <c r="BD24" s="209" t="str">
        <f>IF(24=24,IF($U24="","",SUBSTITUTE(SUBSTITUTE($AA24," "&amp;$CR$1443&amp;" "," ")," "&amp;$CR$1444&amp;" "," ")),"")</f>
        <v xml:space="preserve"> sirop d orgeat </v>
      </c>
      <c r="BE24" s="209">
        <f>IF(24=24,IF($U24="","",SUMPRODUCT(--ISNUMBER(SEARCH(" "&amp;$CR$1445:$CR$1455&amp;" ",$BD24)))),"")</f>
        <v>0</v>
      </c>
      <c r="BF24" s="209" t="str">
        <f>IF(24=24,IF($U24="","",IF(BC24&gt;0,"X",IF(BE24&gt;0,"?",""))),"")</f>
        <v/>
      </c>
      <c r="BG24" s="209">
        <f>IF(24=24,IF($U24="","",SUMPRODUCT(--ISNUMBER(SEARCH(" "&amp;$CR$1456:$CR$1555&amp;" ",$BJ24)))),"")</f>
        <v>0</v>
      </c>
      <c r="BH24" s="209">
        <f>IF(24=24,IF($U24="","",SUMPRODUCT(--ISNUMBER(SEARCH(" "&amp;$CR$1556:$CR$1655&amp;" ",$BJ24)))),"")</f>
        <v>0</v>
      </c>
      <c r="BI24" s="209">
        <f>IF(24=24,IF($U24="","",SUMPRODUCT(--ISNUMBER(SEARCH(" "&amp;$CR$1656:$CR$1739&amp;" ",$BJ24)))),"")</f>
        <v>0</v>
      </c>
      <c r="BJ24" s="209" t="str">
        <f>IF(24=24,IF($U24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24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sirop d orgeat </v>
      </c>
      <c r="BK24" s="209">
        <f>IF(24=24,IF($U24="","",SUMPRODUCT(--ISNUMBER(SEARCH(" "&amp;$CR$1790:$CR$1869&amp;" ",$BL24)))+SUMPRODUCT(--ISNUMBER(SEARCH(" "&amp;$CR$2440:$CR$2453&amp;" ",$BL24)))),"")</f>
        <v>0</v>
      </c>
      <c r="BL24" s="209" t="str">
        <f>IF(24=24,IF($U24="","",SUBSTITUTE(SUBSTITUTE(SUBSTITUTE(SUBSTITUTE(SUBSTITUTE(SUBSTITUTE(SUBSTITUTE(SUBSTITUTE(SUBSTITUTE(SUBSTITUTE(SUBSTITUTE(SUBSTITUTE(SUBSTITUTE($BJ24,"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sirop d orgeat </v>
      </c>
      <c r="BM24" s="209" t="str">
        <f>IF(24=24,IF($U24="","",IF(SUM(BG24:BI24)+SUMPRODUCT(--ISNUMBER(SEARCH(" "&amp;$CR$2423:$CR$2424&amp;" ",$BJ24)))&gt;0,"X",IF(BK24&gt;0,"?",""))),"")</f>
        <v/>
      </c>
      <c r="BN24" s="209">
        <f>IF(24=24,IF($U24="","",SUMPRODUCT(--ISNUMBER(SEARCH(" "&amp;$CR$1879:$CR$1936&amp;" ",$BO24)))),"")</f>
        <v>0</v>
      </c>
      <c r="BO24" s="209" t="str">
        <f>IF(24=24,IF($U24="","",SUBSTITUTE(SUBSTITUTE(SUBSTITUTE(SUBSTITUTE(SUBSTITUTE(SUBSTITUTE(SUBSTITUTE(SUBSTITUTE(SUBSTITUTE(SUBSTITUTE(SUBSTITUTE(SUBSTITUTE(SUBSTITUTE(SUBSTITUTE(SUBSTITUTE(SUBSTITUTE(SUBSTITUTE(SUBSTITUTE(SUBSTITUTE(SUBSTITUTE(SUBSTITUTE(SUBSTITUTE(SUBSTITUTE($AA24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sirop d orgeat </v>
      </c>
      <c r="BP24" s="209">
        <f>IF(24=24,IF($U24="","",SUMPRODUCT(--ISNUMBER(SEARCH(" "&amp;$CR$1960:$CR$1976&amp;" ",$BO24)))),"")</f>
        <v>1</v>
      </c>
      <c r="BQ24" s="209" t="str">
        <f>IF(24=24,IF($U24="","",IF(BN24&gt;0,"X",IF(BP24&gt;0,"?",""))),"")</f>
        <v>?</v>
      </c>
      <c r="BR24" s="209">
        <f>IF(24=24,IF($U24="","",SUMPRODUCT(--ISNUMBER(SEARCH(" "&amp;$CR$1977:$CR$1990&amp;" ",$AA24)))),"")</f>
        <v>0</v>
      </c>
      <c r="BS24" s="209">
        <f>IF(24=24,IF($U24="","",SUMPRODUCT(--ISNUMBER(SEARCH(" "&amp;$CR$1991:$CR$2005&amp;" ",$AA24)))),"")</f>
        <v>0</v>
      </c>
      <c r="BT24" s="209" t="str">
        <f>IF(24=24,IF($U24="","",IF((BR24)-(0)&gt;0,"X",IF((BS24)-(0)&gt;0,"?",""))),"")</f>
        <v/>
      </c>
      <c r="BU24" s="209">
        <f>IF(24=24,IF($U24="","",SUMPRODUCT(--ISNUMBER(SEARCH(" "&amp;$CR$2006:$CR$2023&amp;" ",$AA24)))),"")</f>
        <v>0</v>
      </c>
      <c r="BV24" s="209">
        <f>IF(24=24,IF($U24="","",SUMPRODUCT(--ISNUMBER(SEARCH(" "&amp;$CR$2024:$CR$2038&amp;" ",$AA24)))),"")</f>
        <v>0</v>
      </c>
      <c r="BW24" s="209" t="str">
        <f>IF(24=24,IF($U24="","",IF((BU24)-(0)&gt;0,"X",IF((BV24)-(0)&gt;0,"?",""))),"")</f>
        <v/>
      </c>
      <c r="BX24" s="209">
        <f>IF(24=24,IF($U24="","",SUMPRODUCT(--ISNUMBER(SEARCH(" "&amp;$CR$2039:$CR$2057&amp;" ",$AA24)))),"")</f>
        <v>0</v>
      </c>
      <c r="BY24" s="209">
        <f>IF(24=24,IF($U24="","",SUMPRODUCT(--ISNUMBER(SEARCH(" "&amp;$CR$2058:$CR$2072&amp;" ",$AA24)))),"")</f>
        <v>0</v>
      </c>
      <c r="BZ24" s="209" t="str">
        <f>IF(24=24,IF($U24="","",IF((BX24)-(0)&gt;0,"X",IF((BY24)-(0)&gt;0,"?",""))),"")</f>
        <v/>
      </c>
      <c r="CA24" s="209">
        <f>IF(24=24,IF($U24="","",SUMPRODUCT(--ISNUMBER(SEARCH(" "&amp;$CR$2073:$CR$2093&amp;" ",$AA24)))),"")</f>
        <v>0</v>
      </c>
      <c r="CB24" s="209">
        <f>IF(24=24,IF($U24="","",SUMPRODUCT(--ISNUMBER(SEARCH(" "&amp;$CR$2094:$CR$2133&amp;" ",SUBSTITUTE(SUBSTITUTE($AA24," "&amp;$CR$1367&amp;" "," ")," "&amp;$CR$1366&amp;" "," "))))+--ISNUMBER(SEARCH("poiré",$V24))),"")</f>
        <v>0</v>
      </c>
      <c r="CC24" s="209" t="str">
        <f>IF(24=24,IF($U24="","",IF(OR(CA24&gt;0,ISNUMBER(SEARCH(" vinaigre de vin ",$AA24)),ISNUMBER(SEARCH(" vinaigre au vin ",$AA24))),"X",IF(CB24&gt;0,"?",""))),"")</f>
        <v/>
      </c>
      <c r="CD24" s="209">
        <f>IF(24=24,IF($U24="","",SUMPRODUCT(--ISNUMBER(SEARCH(" "&amp;$CR$2134:$CR$2146&amp;" ",$AA24)))),"")</f>
        <v>0</v>
      </c>
      <c r="CE24" s="209">
        <f>IF(24=24,IF($U24="","",SUMPRODUCT(--ISNUMBER(SEARCH(" "&amp;$CR$2147:$CR$2152&amp;" ",$AA24)))),"")</f>
        <v>0</v>
      </c>
      <c r="CF24" s="209" t="str">
        <f>IF(24=24,IF($U24="","",IF((CD24)-(0)&gt;0,"X",IF((CE24)-(0)&gt;0,"?",""))),"")</f>
        <v/>
      </c>
      <c r="CG24" s="209">
        <f>IF(24=24,IF($U24="","",SUMPRODUCT(--ISNUMBER(SEARCH(" "&amp;$CR$2153:$CR$2252&amp;" ",$CJ24)))),"")</f>
        <v>0</v>
      </c>
      <c r="CH24" s="209">
        <f>IF(24=24,IF($U24="","",SUMPRODUCT(--ISNUMBER(SEARCH(" "&amp;$CR$2253:$CR$2352&amp;" ",$CJ24)))),"")</f>
        <v>0</v>
      </c>
      <c r="CI24" s="209">
        <f>IF(24=24,IF($U24="","",SUMPRODUCT(--ISNUMBER(SEARCH(" "&amp;$CR$2353:$CR$2395&amp;" ",$CJ24)))),"")</f>
        <v>0</v>
      </c>
      <c r="CJ24" s="209" t="str">
        <f>IF(24=24,IF($U24="","",SUBSTITUTE(SUBSTITUTE(SUBSTITUTE(SUBSTITUTE(SUBSTITUTE(SUBSTITUTE(SUBSTITUTE(SUBSTITUTE(SUBSTITUTE(SUBSTITUTE(SUBSTITUTE(SUBSTITUTE(SUBSTITUTE(SUBSTITUTE(SUBSTITUTE(SUBSTITUTE($AA24,"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sirop d orgeat </v>
      </c>
      <c r="CK24" s="209">
        <f>IF(24=24,IF($U24="","",SUMPRODUCT(--ISNUMBER(SEARCH(" "&amp;$CR$2412:$CR$2416&amp;" ",$CJ24)))),"")</f>
        <v>0</v>
      </c>
      <c r="CL24" s="209" t="str">
        <f>IF(24=24,IF($U24="","",IF(SUM(CG24:CI24)&gt;0,"X",IF(CK24&gt;0,"?",""))),"")</f>
        <v/>
      </c>
      <c r="CM24" s="210"/>
      <c r="CN24" s="213" t="s">
        <v>1014</v>
      </c>
      <c r="CO24" s="213" t="s">
        <v>878</v>
      </c>
      <c r="CP24" s="213" t="s">
        <v>879</v>
      </c>
      <c r="CQ24" s="213" t="s">
        <v>1015</v>
      </c>
      <c r="CR24" s="213" t="s">
        <v>1015</v>
      </c>
      <c r="CS24" s="213" t="s">
        <v>881</v>
      </c>
      <c r="CT24" s="213" t="s">
        <v>882</v>
      </c>
      <c r="CU24" s="213" t="s">
        <v>883</v>
      </c>
      <c r="CV24" s="214" t="s">
        <v>884</v>
      </c>
      <c r="CX24" s="212">
        <v>1</v>
      </c>
    </row>
    <row r="25" spans="1:102" ht="21" customHeight="1">
      <c r="A25" s="229">
        <v>19</v>
      </c>
      <c r="B25" s="230" t="s">
        <v>582</v>
      </c>
      <c r="C25" s="231" t="str">
        <f t="shared" si="0"/>
        <v>Amaretto ?</v>
      </c>
      <c r="D25" s="232" t="str">
        <f>IF(25=25,IF($B25="","",IF(E25="X",""&amp;"Céréales contenant du gluten","")&amp;IF(F25="X",IF(COUNTIF($E25:$E25,"X")&gt;0,", ","")&amp;"Crustacés","")&amp;IF(G25="X",IF(COUNTIF($E25:$F25,"X")&gt;0,", ","")&amp;"Œufs","")&amp;IF(H25="X",IF(COUNTIF($E25:$G25,"X")&gt;0,", ","")&amp;"Poissons","")&amp;IF(I25="X",IF(COUNTIF($E25:$H25,"X")&gt;0,", ","")&amp;"Arachides","")&amp;IF(J25="X",IF(COUNTIF($E25:$I25,"X")&gt;0,", ","")&amp;"Soja","")&amp;IF(K25="X",IF(COUNTIF($E25:$J25,"X")&gt;0,", ","")&amp;"Lait","")&amp;IF(L25="X",IF(COUNTIF($E25:$K25,"X")&gt;0,", ","")&amp;"Fruits à coque","")&amp;IF(M25="X",IF(COUNTIF($E25:$L25,"X")&gt;0,", ","")&amp;"Céleri","")&amp;IF(N25="X",IF(COUNTIF($E25:$M25,"X")&gt;0,", ","")&amp;"Moutarde","")&amp;IF(O25="X",IF(COUNTIF($E25:$N25,"X")&gt;0,", ","")&amp;"Sésame","")&amp;IF(P25="X",IF(COUNTIF($E25:$O25,"X")&gt;0,", ","")&amp;"Sulfites","")&amp;IF(Q25="X",IF(COUNTIF($E25:$P25,"X")&gt;0,", ","")&amp;"Lupin","")&amp;IF(R25="X",IF(COUNTIF($E25:$Q25,"X")&gt;0,", ","")&amp;"Mollusques","")),"")</f>
        <v/>
      </c>
      <c r="E25" s="233" t="str">
        <f>IF(25=25,IF($B25="","",IF(OR(ISNUMBER(SEARCH(" biere sans gluten ",$AA25)),ISNUMBER(SEARCH(" gluten free beer ",$AA25)),ISNUMBER(SEARCH(" beer gluten free ",$AA25))),"",IF(AF25="X","X",IF(OR(AF25="?",OR(ISNUMBER(SEARCH(" worcestershire ",$AA25)),ISNUMBER(SEARCH(" bloody mary ",$AA25)))),"?","")))),"")</f>
        <v/>
      </c>
      <c r="F25" s="233" t="str">
        <f>IF(25=25,IF($B25="","",AI25),"")</f>
        <v/>
      </c>
      <c r="G25" s="233" t="str">
        <f>IF(25=25,IF($B25="","",IF(OR(TRIM($AA25)="puree pate d amande",TRIM($AA25)="pate puree d amande",TRIM($AA25)="puree d amande",TRIM($AA25)="pate d amande",TRIM($AA25)="pate puree de noisette",TRIM($AA25)="puree pate de noisette",TRIM($AA25)="puree de noisette",TRIM($AA25)="pate de noisette"),"",IF(OR(AM25="X",OR(ISNUMBER(SEARCH(" macaron ",$AA25)),ISNUMBER(SEARCH(" egg nog ",$AA25)),ISNUMBER(SEARCH(" eggnog ",$AA25)))),"X",IF(OR(AM25="?",OR(ISNUMBER(SEARCH(" biscuit decoratif ",$AA25)),ISNUMBER(SEARCH(" whisky sour ",$AA25)),ISNUMBER(SEARCH(" whiskey sour ",$AA25)),ISNUMBER(SEARCH(" amaretto sour ",$AA25)),ISNUMBER(SEARCH(" pisco sour ",$AA25)),ISNUMBER(SEARCH(" clover club ",$AA25)),ISNUMBER(SEARCH(" ramos gin fizz ",$AA25)))),"?","")))),"")</f>
        <v/>
      </c>
      <c r="H25" s="233" t="str">
        <f>IF(25=25,IF($B25="","",IF(ISNUMBER(SEARCH(" colin ",$AA25)),"X",IF(AZ25="X","X",IF(OR(AZ25="?",OR(ISNUMBER(SEARCH(" worcestershire ",$AA25)),ISNUMBER(SEARCH(" bloody mary ",$AA25)))),"?","")))),"")</f>
        <v/>
      </c>
      <c r="I25" s="233" t="str">
        <f>IF(25=25,IF($B25="","",BB25),"")</f>
        <v/>
      </c>
      <c r="J25" s="233" t="str">
        <f>IF(25=25,IF($B25="","",BF25),"")</f>
        <v/>
      </c>
      <c r="K25" s="233" t="str">
        <f>IF(25=25,IF($B25="","",IF(OR(OR(TRIM($AA25)="puree pate d amande",TRIM($AA25)="pate puree d amande",TRIM($AA25)="puree d amande",TRIM($AA25)="pate d amande",TRIM($AA25)="pate puree de noisette",TRIM($AA25)="puree pate de noisette",TRIM($AA25)="puree de noisette",TRIM($AA25)="pate de noisette"),OR(TRIM($AA25)="beurre puree d arachide",TRIM($AA25)="beurre d arachide",TRIM($AA25)="puree d arachide"),OR(TRIM($AA25)="tahini puree de sesame",TRIM($AA25)="tahini",TRIM($AA25)="puree de sesame")),"",IF(OR(TRIM($AA25)="creme de cassis",TRIM($AA25)="creme de menthe",TRIM($AA25)="creme de cacao",TRIM($AA25)="creme de mure",TRIM($AA25)="creme de framboise",TRIM($AA25)="creme de peche",TRIM($AA25)="creme de banane",TRIM($AA25)="liqueur creme de coco",TRIM($AA25)="creme de coco",TRIM($AA25)="spiritueux aromatise arrange creme de spiritueux"),"?",IF(OR(BM25="X",OR(ISNUMBER(SEARCH(" baileys ",$AA25)),ISNUMBER(SEARCH(" irish cream ",$AA25)),ISNUMBER(SEARCH(" creme de whisky ",$AA25)))),"X",IF(OR(BM25="?",OR(OR(TRIM($AA25)="creme de cassis",TRIM($AA25)="creme de menthe",TRIM($AA25)="creme de cacao",TRIM($AA25)="creme de mure",TRIM($AA25)="creme de framboise",TRIM($AA25)="creme de peche",TRIM($AA25)="creme de banane",TRIM($AA25)="liqueur creme de coco",TRIM($AA25)="creme de coco",TRIM($AA25)="spiritueux aromatise arrange creme de spiritueux"),ISNUMBER(SEARCH(" advocaat ",$AA25)),ISNUMBER(SEARCH(" liqueur aux oeufs ",$AA25)),ISNUMBER(SEARCH(" liqueur de chocolat ",$AA25)),ISNUMBER(SEARCH(" liqueur de caramel ",$AA25)),ISNUMBER(SEARCH(" sauce nappage chocolat ",$AA25)),ISNUMBER(SEARCH(" biscuit decoratif ",$AA25)),ISNUMBER(SEARCH(" white russian ",$AA25)),ISNUMBER(SEARCH(" grasshopper ",$AA25)),ISNUMBER(SEARCH(" irish coffee ",$AA25)),ISNUMBER(SEARCH(" ramos gin fizz ",$AA25)),ISNUMBER(SEARCH(" egg nog ",$AA25)),ISNUMBER(SEARCH(" eggnog ",$AA25)))),"?",""))))),"")</f>
        <v/>
      </c>
      <c r="L25" s="233" t="str">
        <f>IF(25=25,IF($B25="","",IF(OR(BQ25="X",OR(OR(TRIM($AA25)="puree pate d amande",TRIM($AA25)="pate puree d amande",TRIM($AA25)="puree d amande",TRIM($AA25)="pate d amande",TRIM($AA25)="pate puree de noisette",TRIM($AA25)="puree pate de noisette",TRIM($AA25)="puree de noisette",TRIM($AA25)="pate de noisette"),ISNUMBER(SEARCH(" macaron ",$AA25)),TRIM($AA25)="fruits a coque")),"X",IF(OR(BQ25="?",OR(ISNUMBER(SEARCH(" sirop d orgeat ",$AA25)),ISNUMBER(SEARCH(" orgeat ",$AA25)),ISNUMBER(SEARCH(" amaretto ",$AA25)))),"?",""))),"")</f>
        <v>?</v>
      </c>
      <c r="M25" s="233" t="str">
        <f>IF(25=25,IF($B25="","",IF(OR(OR(TRIM($AA25)="puree pate d amande",TRIM($AA25)="pate puree d amande",TRIM($AA25)="puree d amande",TRIM($AA25)="pate d amande",TRIM($AA25)="pate puree de noisette",TRIM($AA25)="puree pate de noisette",TRIM($AA25)="puree de noisette",TRIM($AA25)="pate de noisette"),OR(TRIM($AA25)="tahini puree de sesame",TRIM($AA25)="tahini",TRIM($AA25)="puree de sesame")),"",IF(BT25="X","X",IF(OR(BT25="?",ISNUMBER(SEARCH(" bloody mary ",$AA25))),"?","")))),"")</f>
        <v/>
      </c>
      <c r="N25" s="233" t="str">
        <f>IF(25=25,IF($B25="","",IF(OR(OR(TRIM($AA25)="puree pate d amande",TRIM($AA25)="pate puree d amande",TRIM($AA25)="puree d amande",TRIM($AA25)="pate d amande",TRIM($AA25)="pate puree de noisette",TRIM($AA25)="puree pate de noisette",TRIM($AA25)="puree de noisette",TRIM($AA25)="pate de noisette"),OR(TRIM($AA25)="tahini puree de sesame",TRIM($AA25)="tahini",TRIM($AA25)="puree de sesame")),"",IF(BW25="X","X",IF(OR(BW25="?",ISNUMBER(SEARCH(" bloody mary ",$AA25))),"?","")))),"")</f>
        <v/>
      </c>
      <c r="O25" s="233" t="str">
        <f>IF(25=25,IF($B25="","",BZ25),"")</f>
        <v/>
      </c>
      <c r="P25" s="233" t="str">
        <f>IF(25=25,IF($B25="","",CC25),"")</f>
        <v/>
      </c>
      <c r="Q25" s="233" t="str">
        <f>IF(25=25,IF($B25="","",CF25),"")</f>
        <v/>
      </c>
      <c r="R25" s="233" t="str">
        <f>IF(25=25,IF($B25="","",IF(TRIM($AA25)="fruits a coque","",IF(CL25="X","X",IF(OR(CL25="?",OR(ISNUMBER(SEARCH(" clamato ",$AA25)),ISNUMBER(SEARCH(" bloody caesar ",$AA25)))),"?","")))),"")</f>
        <v/>
      </c>
      <c r="S25" s="234" t="str">
        <f>IF(25=25,IF($B25="","",IF(E25="?",""&amp;"Céréales contenant du gluten","")&amp;IF(F25="?",IF(COUNTIF($E25:$E25,"~?")&gt;0,", ","")&amp;"Crustacés","")&amp;IF(G25="?",IF(COUNTIF($E25:$F25,"~?")&gt;0,", ","")&amp;"Œufs","")&amp;IF(H25="?",IF(COUNTIF($E25:$G25,"~?")&gt;0,", ","")&amp;"Poissons","")&amp;IF(I25="?",IF(COUNTIF($E25:$H25,"~?")&gt;0,", ","")&amp;"Arachides","")&amp;IF(J25="?",IF(COUNTIF($E25:$I25,"~?")&gt;0,", ","")&amp;"Soja","")&amp;IF(K25="?",IF(COUNTIF($E25:$J25,"~?")&gt;0,", ","")&amp;"Lait","")&amp;IF(L25="?",IF(COUNTIF($E25:$K25,"~?")&gt;0,", ","")&amp;"Fruits à coque","")&amp;IF(M25="?",IF(COUNTIF($E25:$L25,"~?")&gt;0,", ","")&amp;"Céleri","")&amp;IF(N25="?",IF(COUNTIF($E25:$M25,"~?")&gt;0,", ","")&amp;"Moutarde","")&amp;IF(O25="?",IF(COUNTIF($E25:$N25,"~?")&gt;0,", ","")&amp;"Sésame","")&amp;IF(P25="?",IF(COUNTIF($E25:$O25,"~?")&gt;0,", ","")&amp;"Sulfites","")&amp;IF(Q25="?",IF(COUNTIF($E25:$P25,"~?")&gt;0,", ","")&amp;"Lupin","")&amp;IF(R25="?",IF(COUNTIF($E25:$Q25,"~?")&gt;0,", ","")&amp;"Mollusques","")),"")</f>
        <v>Fruits à coque</v>
      </c>
      <c r="U25" s="209" t="str">
        <f>IF(25=25,IF($B25="","",$B25),"")</f>
        <v>Amaretto</v>
      </c>
      <c r="V25" s="209" t="str">
        <f>IF(25=25,LOWER(CLEAN(SUBSTITUTE(SUBSTITUTE(SUBSTITUTE(SUBSTITUTE($U25,CHAR(160)," ")," "," "),CHAR(10)," "),CHAR(13)," "))),"")</f>
        <v>amaretto</v>
      </c>
      <c r="W25" s="209" t="str">
        <f>IF(25=25,SUBSTITUTE(SUBSTITUTE(SUBSTITUTE(SUBSTITUTE(SUBSTITUTE(SUBSTITUTE(SUBSTITUTE(SUBSTITUTE(SUBSTITUTE(SUBSTITUTE(SUBSTITUTE(SUBSTITUTE($V25,"œ","oe"),"æ","ae"),"à","a"),"á","a"),"â","a"),"ä","a"),"ã","a"),"ç","c"),"è","e"),"é","e"),"ê","e"),"ë","e"),"")</f>
        <v>amaretto</v>
      </c>
      <c r="X25" s="209" t="str">
        <f>IF(25=25,SUBSTITUTE(SUBSTITUTE(SUBSTITUTE(SUBSTITUTE(SUBSTITUTE(SUBSTITUTE(SUBSTITUTE(SUBSTITUTE(SUBSTITUTE(SUBSTITUTE(SUBSTITUTE(SUBSTITUTE(SUBSTITUTE(SUBSTITUTE(SUBSTITUTE(SUBSTITUTE($W25,"ì","i"),"í","i"),"î","i"),"ï","i"),"ñ","n"),"ò","o"),"ó","o"),"ô","o"),"ö","o"),"õ","o"),"ù","u"),"ú","u"),"û","u"),"ü","u"),"ý","y"),"ÿ","y"),"")</f>
        <v>amaretto</v>
      </c>
      <c r="Y25" s="209" t="str">
        <f>IF(25=25,SUBSTITUTE(SUBSTITUTE(SUBSTITUTE(SUBSTITUTE(SUBSTITUTE(SUBSTITUTE(SUBSTITUTE(SUBSTITUTE(SUBSTITUTE(SUBSTITUTE(SUBSTITUTE(SUBSTITUTE(SUBSTITUTE(SUBSTITUTE($X25,"’"," "),"`"," "),"–"," "),"—"," "),"-"," "),"'"," "),"/"," "),"_"," "),","," "),"."," "),"("," "),")"," "),";"," "),":"," "),"")</f>
        <v>amaretto</v>
      </c>
      <c r="Z25" s="209" t="str">
        <f>IF(25=25,SUBSTITUTE(SUBSTITUTE(SUBSTITUTE(SUBSTITUTE(SUBSTITUTE(SUBSTITUTE(SUBSTITUTE(SUBSTITUTE(SUBSTITUTE(SUBSTITUTE(SUBSTITUTE(SUBSTITUTE(SUBSTITUTE(SUBSTITUTE(SUBSTITUTE($Y25,"!"," "),"?"," "),"+"," "),"*"," "),"&amp;"," "),"["," "),"]"," "),"{"," "),"}"," "),"%"," "),"="," "),"\"," "),"|"," "),"&lt;"," "),"&gt;"," "),"")</f>
        <v>amaretto</v>
      </c>
      <c r="AA25" s="209" t="str">
        <f>IF(25=25," "&amp;TRIM(SUBSTITUTE(SUBSTITUTE(SUBSTITUTE(SUBSTITUTE(SUBSTITUTE(SUBSTITUTE($Z25,CHAR(34)," "),"  "," "),"  "," "),"  "," "),"  "," "),"  "," "))&amp;" ","")</f>
        <v xml:space="preserve"> amaretto </v>
      </c>
      <c r="AB25" s="209">
        <f>IF(25=25,IF($U25="","",SUMPRODUCT(--ISNUMBER(SEARCH(" "&amp;$CR$2:$CR$101&amp;" ",$AD25)))),"")</f>
        <v>0</v>
      </c>
      <c r="AC25" s="209">
        <f>IF(25=25,IF($U25="","",SUMPRODUCT(--ISNUMBER(SEARCH(" "&amp;$CR$102:$CR$151&amp;" ",$AD25)))),"")</f>
        <v>0</v>
      </c>
      <c r="AD25" s="209" t="str">
        <f t="shared" si="1"/>
        <v xml:space="preserve"> amaretto </v>
      </c>
      <c r="AE25" s="209">
        <f t="shared" si="2"/>
        <v>0</v>
      </c>
      <c r="AF25" s="209" t="str">
        <f>IF(25=25,IF($U25="","",IF(SUM(AB25:AC25)+SUMPRODUCT(--ISNUMBER(SEARCH(" "&amp;$CR$2418:$CR$2420&amp;" ",$AD25)))&gt;0,"X",IF(AE25&gt;0,"?",""))),"")</f>
        <v/>
      </c>
      <c r="AG25" s="209">
        <f>IF(25=25,IF($U25="","",SUMPRODUCT(--ISNUMBER(SEARCH(" "&amp;$CR$206:$CR$305&amp;" ",$AA25)))),"")</f>
        <v>0</v>
      </c>
      <c r="AH25" s="209">
        <f>IF(25=25,IF($U25="","",SUMPRODUCT(--ISNUMBER(SEARCH(" "&amp;$CR$306:$CR$340&amp;" ",$AA25)))),"")</f>
        <v>0</v>
      </c>
      <c r="AI25" s="209" t="str">
        <f>IF(25=25,IF($U25="","",IF((SUM(AG25:AH25))-(0)&gt;0,"X",IF((0)-(0)&gt;0,"?",""))),"")</f>
        <v/>
      </c>
      <c r="AJ25" s="209">
        <f>IF(25=25,IF($U25="","",SUMPRODUCT(--ISNUMBER(SEARCH(" "&amp;$CR$341:$CR$398&amp;" ",$AA25)))),"")</f>
        <v>0</v>
      </c>
      <c r="AK25" s="209">
        <f>IF(25=25,IF($U25="","",SUMPRODUCT(--ISNUMBER(SEARCH(" "&amp;$CR$399:$CR$426&amp;" ",$AL25)))+SUMPRODUCT(--ISNUMBER(SEARCH(" "&amp;$CR$2440:$CR$2453&amp;" ",$AL25)))),"")</f>
        <v>0</v>
      </c>
      <c r="AL25" s="209" t="str">
        <f>IF(25=25,IF($U25="","",SUBSTITUTE(SUBSTITUTE(SUBSTITUTE(SUBSTITUTE(SUBSTITUTE(SUBSTITUTE(SUBSTITUTE(SUBSTITUTE(SUBSTITUTE(SUBSTITUTE(SUBSTITUTE(SUBSTITUTE(SUBSTITUTE(SUBSTITUTE($AA25,"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amaretto </v>
      </c>
      <c r="AM25" s="209" t="str">
        <f>IF(25=25,IF($U25="","",IF(AJ25&gt;0,"X",IF(AK25&gt;0,"?",""))),"")</f>
        <v/>
      </c>
      <c r="AN25" s="209">
        <f>IF(25=25,IF($U25="","",SUMPRODUCT(--ISNUMBER(SEARCH(" "&amp;$CR$436:$CR$535&amp;" ",$AX25)))),"")</f>
        <v>0</v>
      </c>
      <c r="AO25" s="209">
        <f>IF(25=25,IF($U25="","",SUMPRODUCT(--ISNUMBER(SEARCH(" "&amp;$CR$536:$CR$635&amp;" ",$AX25)))),"")</f>
        <v>0</v>
      </c>
      <c r="AP25" s="209">
        <f>IF(25=25,IF($U25="","",SUMPRODUCT(--ISNUMBER(SEARCH(" "&amp;$CR$636:$CR$735&amp;" ",$AX25)))),"")</f>
        <v>0</v>
      </c>
      <c r="AQ25" s="209">
        <f>IF(25=25,IF($U25="","",SUMPRODUCT(--ISNUMBER(SEARCH(" "&amp;$CR$736:$CR$835&amp;" ",$AX25)))),"")</f>
        <v>0</v>
      </c>
      <c r="AR25" s="209">
        <f>IF(25=25,IF($U25="","",SUMPRODUCT(--ISNUMBER(SEARCH(" "&amp;$CR$836:$CR$935&amp;" ",$AX25)))),"")</f>
        <v>0</v>
      </c>
      <c r="AS25" s="209">
        <f>IF(25=25,IF($U25="","",SUMPRODUCT(--ISNUMBER(SEARCH(" "&amp;$CR$936:$CR$1035&amp;" ",$AX25)))),"")</f>
        <v>0</v>
      </c>
      <c r="AT25" s="209">
        <f>IF(25=25,IF($U25="","",SUMPRODUCT(--ISNUMBER(SEARCH(" "&amp;$CR$1036:$CR$1135&amp;" ",$AX25)))),"")</f>
        <v>0</v>
      </c>
      <c r="AU25" s="209">
        <f>IF(25=25,IF($U25="","",SUMPRODUCT(--ISNUMBER(SEARCH(" "&amp;$CR$1136:$CR$1235&amp;" ",$AX25)))),"")</f>
        <v>0</v>
      </c>
      <c r="AV25" s="209">
        <f>IF(25=25,IF($U25="","",SUMPRODUCT(--ISNUMBER(SEARCH(" "&amp;$CR$1236:$CR$1335&amp;" ",$AX25)))),"")</f>
        <v>0</v>
      </c>
      <c r="AW25" s="209">
        <f>IF(25=25,IF($U25="","",SUMPRODUCT(--ISNUMBER(SEARCH(" "&amp;$CR$1336:$CR$1363&amp;" ",$AX25)))),"")</f>
        <v>0</v>
      </c>
      <c r="AX25" s="209" t="str">
        <f>IF(25=25,IF($U25="","",SUBSTITUTE(SUBSTITUTE(SUBSTITUTE(SUBSTITUTE(SUBSTITUTE(SUBSTITUTE(SUBSTITUTE(SUBSTITUTE(SUBSTITUTE($AA25,"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amaretto </v>
      </c>
      <c r="AY25" s="209">
        <f>IF(25=25,IF($U25="","",SUMPRODUCT(--ISNUMBER(SEARCH(" "&amp;$CR$1373:$CR$1383&amp;" ",$AX25)))),"")</f>
        <v>0</v>
      </c>
      <c r="AZ25" s="209" t="str">
        <f>IF(25=25,IF($U25="","",IF(SUM(AN25:AW25)+SUMPRODUCT(--ISNUMBER(SEARCH(" "&amp;$CR$2421:$CR$2422&amp;" ",$AX25)))&gt;0,"X",IF(AY25&gt;0,"?",""))),"")</f>
        <v/>
      </c>
      <c r="BA25" s="209">
        <f>IF(25=25,IF($U25="","",SUMPRODUCT(--ISNUMBER(SEARCH(" "&amp;$CR$1384:$CR$1404&amp;" ",$AA25)))),"")</f>
        <v>0</v>
      </c>
      <c r="BB25" s="209" t="str">
        <f>IF(25=25,IF($U25="","",IF((BA25)-(0)&gt;0,"X",IF((0)-(0)&gt;0,"?",""))),"")</f>
        <v/>
      </c>
      <c r="BC25" s="209">
        <f>IF(25=25,IF($U25="","",SUMPRODUCT(--ISNUMBER(SEARCH(" "&amp;$CR$1405:$CR$1442&amp;" ",$BD25)))),"")</f>
        <v>0</v>
      </c>
      <c r="BD25" s="209" t="str">
        <f>IF(25=25,IF($U25="","",SUBSTITUTE(SUBSTITUTE($AA25," "&amp;$CR$1443&amp;" "," ")," "&amp;$CR$1444&amp;" "," ")),"")</f>
        <v xml:space="preserve"> amaretto </v>
      </c>
      <c r="BE25" s="209">
        <f>IF(25=25,IF($U25="","",SUMPRODUCT(--ISNUMBER(SEARCH(" "&amp;$CR$1445:$CR$1455&amp;" ",$BD25)))),"")</f>
        <v>0</v>
      </c>
      <c r="BF25" s="209" t="str">
        <f>IF(25=25,IF($U25="","",IF(BC25&gt;0,"X",IF(BE25&gt;0,"?",""))),"")</f>
        <v/>
      </c>
      <c r="BG25" s="209">
        <f>IF(25=25,IF($U25="","",SUMPRODUCT(--ISNUMBER(SEARCH(" "&amp;$CR$1456:$CR$1555&amp;" ",$BJ25)))),"")</f>
        <v>0</v>
      </c>
      <c r="BH25" s="209">
        <f>IF(25=25,IF($U25="","",SUMPRODUCT(--ISNUMBER(SEARCH(" "&amp;$CR$1556:$CR$1655&amp;" ",$BJ25)))),"")</f>
        <v>0</v>
      </c>
      <c r="BI25" s="209">
        <f>IF(25=25,IF($U25="","",SUMPRODUCT(--ISNUMBER(SEARCH(" "&amp;$CR$1656:$CR$1739&amp;" ",$BJ25)))),"")</f>
        <v>0</v>
      </c>
      <c r="BJ25" s="209" t="str">
        <f>IF(25=25,IF($U25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25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amaretto </v>
      </c>
      <c r="BK25" s="209">
        <f>IF(25=25,IF($U25="","",SUMPRODUCT(--ISNUMBER(SEARCH(" "&amp;$CR$1790:$CR$1869&amp;" ",$BL25)))+SUMPRODUCT(--ISNUMBER(SEARCH(" "&amp;$CR$2440:$CR$2453&amp;" ",$BL25)))),"")</f>
        <v>0</v>
      </c>
      <c r="BL25" s="209" t="str">
        <f>IF(25=25,IF($U25="","",SUBSTITUTE(SUBSTITUTE(SUBSTITUTE(SUBSTITUTE(SUBSTITUTE(SUBSTITUTE(SUBSTITUTE(SUBSTITUTE(SUBSTITUTE(SUBSTITUTE(SUBSTITUTE(SUBSTITUTE(SUBSTITUTE($BJ25,"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amaretto </v>
      </c>
      <c r="BM25" s="209" t="str">
        <f>IF(25=25,IF($U25="","",IF(SUM(BG25:BI25)+SUMPRODUCT(--ISNUMBER(SEARCH(" "&amp;$CR$2423:$CR$2424&amp;" ",$BJ25)))&gt;0,"X",IF(BK25&gt;0,"?",""))),"")</f>
        <v/>
      </c>
      <c r="BN25" s="209">
        <f>IF(25=25,IF($U25="","",SUMPRODUCT(--ISNUMBER(SEARCH(" "&amp;$CR$1879:$CR$1936&amp;" ",$BO25)))),"")</f>
        <v>0</v>
      </c>
      <c r="BO25" s="209" t="str">
        <f>IF(25=25,IF($U25="","",SUBSTITUTE(SUBSTITUTE(SUBSTITUTE(SUBSTITUTE(SUBSTITUTE(SUBSTITUTE(SUBSTITUTE(SUBSTITUTE(SUBSTITUTE(SUBSTITUTE(SUBSTITUTE(SUBSTITUTE(SUBSTITUTE(SUBSTITUTE(SUBSTITUTE(SUBSTITUTE(SUBSTITUTE(SUBSTITUTE(SUBSTITUTE(SUBSTITUTE(SUBSTITUTE(SUBSTITUTE(SUBSTITUTE($AA25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amaretto </v>
      </c>
      <c r="BP25" s="209">
        <f>IF(25=25,IF($U25="","",SUMPRODUCT(--ISNUMBER(SEARCH(" "&amp;$CR$1960:$CR$1976&amp;" ",$BO25)))),"")</f>
        <v>1</v>
      </c>
      <c r="BQ25" s="209" t="str">
        <f>IF(25=25,IF($U25="","",IF(BN25&gt;0,"X",IF(BP25&gt;0,"?",""))),"")</f>
        <v>?</v>
      </c>
      <c r="BR25" s="209">
        <f>IF(25=25,IF($U25="","",SUMPRODUCT(--ISNUMBER(SEARCH(" "&amp;$CR$1977:$CR$1990&amp;" ",$AA25)))),"")</f>
        <v>0</v>
      </c>
      <c r="BS25" s="209">
        <f>IF(25=25,IF($U25="","",SUMPRODUCT(--ISNUMBER(SEARCH(" "&amp;$CR$1991:$CR$2005&amp;" ",$AA25)))),"")</f>
        <v>0</v>
      </c>
      <c r="BT25" s="209" t="str">
        <f>IF(25=25,IF($U25="","",IF((BR25)-(0)&gt;0,"X",IF((BS25)-(0)&gt;0,"?",""))),"")</f>
        <v/>
      </c>
      <c r="BU25" s="209">
        <f>IF(25=25,IF($U25="","",SUMPRODUCT(--ISNUMBER(SEARCH(" "&amp;$CR$2006:$CR$2023&amp;" ",$AA25)))),"")</f>
        <v>0</v>
      </c>
      <c r="BV25" s="209">
        <f>IF(25=25,IF($U25="","",SUMPRODUCT(--ISNUMBER(SEARCH(" "&amp;$CR$2024:$CR$2038&amp;" ",$AA25)))),"")</f>
        <v>0</v>
      </c>
      <c r="BW25" s="209" t="str">
        <f>IF(25=25,IF($U25="","",IF((BU25)-(0)&gt;0,"X",IF((BV25)-(0)&gt;0,"?",""))),"")</f>
        <v/>
      </c>
      <c r="BX25" s="209">
        <f>IF(25=25,IF($U25="","",SUMPRODUCT(--ISNUMBER(SEARCH(" "&amp;$CR$2039:$CR$2057&amp;" ",$AA25)))),"")</f>
        <v>0</v>
      </c>
      <c r="BY25" s="209">
        <f>IF(25=25,IF($U25="","",SUMPRODUCT(--ISNUMBER(SEARCH(" "&amp;$CR$2058:$CR$2072&amp;" ",$AA25)))),"")</f>
        <v>0</v>
      </c>
      <c r="BZ25" s="209" t="str">
        <f>IF(25=25,IF($U25="","",IF((BX25)-(0)&gt;0,"X",IF((BY25)-(0)&gt;0,"?",""))),"")</f>
        <v/>
      </c>
      <c r="CA25" s="209">
        <f>IF(25=25,IF($U25="","",SUMPRODUCT(--ISNUMBER(SEARCH(" "&amp;$CR$2073:$CR$2093&amp;" ",$AA25)))),"")</f>
        <v>0</v>
      </c>
      <c r="CB25" s="209">
        <f>IF(25=25,IF($U25="","",SUMPRODUCT(--ISNUMBER(SEARCH(" "&amp;$CR$2094:$CR$2133&amp;" ",SUBSTITUTE(SUBSTITUTE($AA25," "&amp;$CR$1367&amp;" "," ")," "&amp;$CR$1366&amp;" "," "))))+--ISNUMBER(SEARCH("poiré",$V25))),"")</f>
        <v>0</v>
      </c>
      <c r="CC25" s="209" t="str">
        <f>IF(25=25,IF($U25="","",IF(OR(CA25&gt;0,ISNUMBER(SEARCH(" vinaigre de vin ",$AA25)),ISNUMBER(SEARCH(" vinaigre au vin ",$AA25))),"X",IF(CB25&gt;0,"?",""))),"")</f>
        <v/>
      </c>
      <c r="CD25" s="209">
        <f>IF(25=25,IF($U25="","",SUMPRODUCT(--ISNUMBER(SEARCH(" "&amp;$CR$2134:$CR$2146&amp;" ",$AA25)))),"")</f>
        <v>0</v>
      </c>
      <c r="CE25" s="209">
        <f>IF(25=25,IF($U25="","",SUMPRODUCT(--ISNUMBER(SEARCH(" "&amp;$CR$2147:$CR$2152&amp;" ",$AA25)))),"")</f>
        <v>0</v>
      </c>
      <c r="CF25" s="209" t="str">
        <f>IF(25=25,IF($U25="","",IF((CD25)-(0)&gt;0,"X",IF((CE25)-(0)&gt;0,"?",""))),"")</f>
        <v/>
      </c>
      <c r="CG25" s="209">
        <f>IF(25=25,IF($U25="","",SUMPRODUCT(--ISNUMBER(SEARCH(" "&amp;$CR$2153:$CR$2252&amp;" ",$CJ25)))),"")</f>
        <v>0</v>
      </c>
      <c r="CH25" s="209">
        <f>IF(25=25,IF($U25="","",SUMPRODUCT(--ISNUMBER(SEARCH(" "&amp;$CR$2253:$CR$2352&amp;" ",$CJ25)))),"")</f>
        <v>0</v>
      </c>
      <c r="CI25" s="209">
        <f>IF(25=25,IF($U25="","",SUMPRODUCT(--ISNUMBER(SEARCH(" "&amp;$CR$2353:$CR$2395&amp;" ",$CJ25)))),"")</f>
        <v>0</v>
      </c>
      <c r="CJ25" s="209" t="str">
        <f>IF(25=25,IF($U25="","",SUBSTITUTE(SUBSTITUTE(SUBSTITUTE(SUBSTITUTE(SUBSTITUTE(SUBSTITUTE(SUBSTITUTE(SUBSTITUTE(SUBSTITUTE(SUBSTITUTE(SUBSTITUTE(SUBSTITUTE(SUBSTITUTE(SUBSTITUTE(SUBSTITUTE(SUBSTITUTE($AA25,"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amaretto </v>
      </c>
      <c r="CK25" s="209">
        <f>IF(25=25,IF($U25="","",SUMPRODUCT(--ISNUMBER(SEARCH(" "&amp;$CR$2412:$CR$2416&amp;" ",$CJ25)))),"")</f>
        <v>0</v>
      </c>
      <c r="CL25" s="209" t="str">
        <f>IF(25=25,IF($U25="","",IF(SUM(CG25:CI25)&gt;0,"X",IF(CK25&gt;0,"?",""))),"")</f>
        <v/>
      </c>
      <c r="CM25" s="210"/>
      <c r="CN25" s="213" t="s">
        <v>1016</v>
      </c>
      <c r="CO25" s="213" t="s">
        <v>878</v>
      </c>
      <c r="CP25" s="213" t="s">
        <v>879</v>
      </c>
      <c r="CQ25" s="213" t="s">
        <v>1017</v>
      </c>
      <c r="CR25" s="213" t="s">
        <v>1017</v>
      </c>
      <c r="CS25" s="213" t="s">
        <v>881</v>
      </c>
      <c r="CT25" s="213" t="s">
        <v>882</v>
      </c>
      <c r="CU25" s="213" t="s">
        <v>883</v>
      </c>
      <c r="CV25" s="214" t="s">
        <v>884</v>
      </c>
      <c r="CX25" s="212">
        <v>1</v>
      </c>
    </row>
    <row r="26" spans="1:102" ht="21" customHeight="1">
      <c r="A26" s="229">
        <v>20</v>
      </c>
      <c r="B26" s="230" t="s">
        <v>6516</v>
      </c>
      <c r="C26" s="231" t="str">
        <f t="shared" si="0"/>
        <v>Liqueur de noisette / noix *</v>
      </c>
      <c r="D26" s="232" t="str">
        <f>IF(26=26,IF($B26="","",IF(E26="X",""&amp;"Céréales contenant du gluten","")&amp;IF(F26="X",IF(COUNTIF($E26:$E26,"X")&gt;0,", ","")&amp;"Crustacés","")&amp;IF(G26="X",IF(COUNTIF($E26:$F26,"X")&gt;0,", ","")&amp;"Œufs","")&amp;IF(H26="X",IF(COUNTIF($E26:$G26,"X")&gt;0,", ","")&amp;"Poissons","")&amp;IF(I26="X",IF(COUNTIF($E26:$H26,"X")&gt;0,", ","")&amp;"Arachides","")&amp;IF(J26="X",IF(COUNTIF($E26:$I26,"X")&gt;0,", ","")&amp;"Soja","")&amp;IF(K26="X",IF(COUNTIF($E26:$J26,"X")&gt;0,", ","")&amp;"Lait","")&amp;IF(L26="X",IF(COUNTIF($E26:$K26,"X")&gt;0,", ","")&amp;"Fruits à coque","")&amp;IF(M26="X",IF(COUNTIF($E26:$L26,"X")&gt;0,", ","")&amp;"Céleri","")&amp;IF(N26="X",IF(COUNTIF($E26:$M26,"X")&gt;0,", ","")&amp;"Moutarde","")&amp;IF(O26="X",IF(COUNTIF($E26:$N26,"X")&gt;0,", ","")&amp;"Sésame","")&amp;IF(P26="X",IF(COUNTIF($E26:$O26,"X")&gt;0,", ","")&amp;"Sulfites","")&amp;IF(Q26="X",IF(COUNTIF($E26:$P26,"X")&gt;0,", ","")&amp;"Lupin","")&amp;IF(R26="X",IF(COUNTIF($E26:$Q26,"X")&gt;0,", ","")&amp;"Mollusques","")),"")</f>
        <v>Fruits à coque</v>
      </c>
      <c r="E26" s="233" t="str">
        <f>IF(26=26,IF($B26="","",IF(OR(ISNUMBER(SEARCH(" biere sans gluten ",$AA26)),ISNUMBER(SEARCH(" gluten free beer ",$AA26)),ISNUMBER(SEARCH(" beer gluten free ",$AA26))),"",IF(AF26="X","X",IF(OR(AF26="?",OR(ISNUMBER(SEARCH(" worcestershire ",$AA26)),ISNUMBER(SEARCH(" bloody mary ",$AA26)))),"?","")))),"")</f>
        <v/>
      </c>
      <c r="F26" s="233" t="str">
        <f>IF(26=26,IF($B26="","",AI26),"")</f>
        <v/>
      </c>
      <c r="G26" s="233" t="str">
        <f>IF(26=26,IF($B26="","",IF(OR(TRIM($AA26)="puree pate d amande",TRIM($AA26)="pate puree d amande",TRIM($AA26)="puree d amande",TRIM($AA26)="pate d amande",TRIM($AA26)="pate puree de noisette",TRIM($AA26)="puree pate de noisette",TRIM($AA26)="puree de noisette",TRIM($AA26)="pate de noisette"),"",IF(OR(AM26="X",OR(ISNUMBER(SEARCH(" macaron ",$AA26)),ISNUMBER(SEARCH(" egg nog ",$AA26)),ISNUMBER(SEARCH(" eggnog ",$AA26)))),"X",IF(OR(AM26="?",OR(ISNUMBER(SEARCH(" biscuit decoratif ",$AA26)),ISNUMBER(SEARCH(" whisky sour ",$AA26)),ISNUMBER(SEARCH(" whiskey sour ",$AA26)),ISNUMBER(SEARCH(" amaretto sour ",$AA26)),ISNUMBER(SEARCH(" pisco sour ",$AA26)),ISNUMBER(SEARCH(" clover club ",$AA26)),ISNUMBER(SEARCH(" ramos gin fizz ",$AA26)))),"?","")))),"")</f>
        <v/>
      </c>
      <c r="H26" s="233" t="str">
        <f>IF(26=26,IF($B26="","",IF(ISNUMBER(SEARCH(" colin ",$AA26)),"X",IF(AZ26="X","X",IF(OR(AZ26="?",OR(ISNUMBER(SEARCH(" worcestershire ",$AA26)),ISNUMBER(SEARCH(" bloody mary ",$AA26)))),"?","")))),"")</f>
        <v/>
      </c>
      <c r="I26" s="233" t="str">
        <f>IF(26=26,IF($B26="","",BB26),"")</f>
        <v/>
      </c>
      <c r="J26" s="233" t="str">
        <f>IF(26=26,IF($B26="","",BF26),"")</f>
        <v/>
      </c>
      <c r="K26" s="233" t="str">
        <f>IF(26=26,IF($B26="","",IF(OR(OR(TRIM($AA26)="puree pate d amande",TRIM($AA26)="pate puree d amande",TRIM($AA26)="puree d amande",TRIM($AA26)="pate d amande",TRIM($AA26)="pate puree de noisette",TRIM($AA26)="puree pate de noisette",TRIM($AA26)="puree de noisette",TRIM($AA26)="pate de noisette"),OR(TRIM($AA26)="beurre puree d arachide",TRIM($AA26)="beurre d arachide",TRIM($AA26)="puree d arachide"),OR(TRIM($AA26)="tahini puree de sesame",TRIM($AA26)="tahini",TRIM($AA26)="puree de sesame")),"",IF(OR(TRIM($AA26)="creme de cassis",TRIM($AA26)="creme de menthe",TRIM($AA26)="creme de cacao",TRIM($AA26)="creme de mure",TRIM($AA26)="creme de framboise",TRIM($AA26)="creme de peche",TRIM($AA26)="creme de banane",TRIM($AA26)="liqueur creme de coco",TRIM($AA26)="creme de coco",TRIM($AA26)="spiritueux aromatise arrange creme de spiritueux"),"?",IF(OR(BM26="X",OR(ISNUMBER(SEARCH(" baileys ",$AA26)),ISNUMBER(SEARCH(" irish cream ",$AA26)),ISNUMBER(SEARCH(" creme de whisky ",$AA26)))),"X",IF(OR(BM26="?",OR(OR(TRIM($AA26)="creme de cassis",TRIM($AA26)="creme de menthe",TRIM($AA26)="creme de cacao",TRIM($AA26)="creme de mure",TRIM($AA26)="creme de framboise",TRIM($AA26)="creme de peche",TRIM($AA26)="creme de banane",TRIM($AA26)="liqueur creme de coco",TRIM($AA26)="creme de coco",TRIM($AA26)="spiritueux aromatise arrange creme de spiritueux"),ISNUMBER(SEARCH(" advocaat ",$AA26)),ISNUMBER(SEARCH(" liqueur aux oeufs ",$AA26)),ISNUMBER(SEARCH(" liqueur de chocolat ",$AA26)),ISNUMBER(SEARCH(" liqueur de caramel ",$AA26)),ISNUMBER(SEARCH(" sauce nappage chocolat ",$AA26)),ISNUMBER(SEARCH(" biscuit decoratif ",$AA26)),ISNUMBER(SEARCH(" white russian ",$AA26)),ISNUMBER(SEARCH(" grasshopper ",$AA26)),ISNUMBER(SEARCH(" irish coffee ",$AA26)),ISNUMBER(SEARCH(" ramos gin fizz ",$AA26)),ISNUMBER(SEARCH(" egg nog ",$AA26)),ISNUMBER(SEARCH(" eggnog ",$AA26)))),"?",""))))),"")</f>
        <v/>
      </c>
      <c r="L26" s="233" t="str">
        <f>IF(26=26,IF($B26="","",IF(OR(BQ26="X",OR(OR(TRIM($AA26)="puree pate d amande",TRIM($AA26)="pate puree d amande",TRIM($AA26)="puree d amande",TRIM($AA26)="pate d amande",TRIM($AA26)="pate puree de noisette",TRIM($AA26)="puree pate de noisette",TRIM($AA26)="puree de noisette",TRIM($AA26)="pate de noisette"),ISNUMBER(SEARCH(" macaron ",$AA26)),TRIM($AA26)="fruits a coque")),"X",IF(OR(BQ26="?",OR(ISNUMBER(SEARCH(" sirop d orgeat ",$AA26)),ISNUMBER(SEARCH(" orgeat ",$AA26)),ISNUMBER(SEARCH(" amaretto ",$AA26)))),"?",""))),"")</f>
        <v>X</v>
      </c>
      <c r="M26" s="233" t="str">
        <f>IF(26=26,IF($B26="","",IF(OR(OR(TRIM($AA26)="puree pate d amande",TRIM($AA26)="pate puree d amande",TRIM($AA26)="puree d amande",TRIM($AA26)="pate d amande",TRIM($AA26)="pate puree de noisette",TRIM($AA26)="puree pate de noisette",TRIM($AA26)="puree de noisette",TRIM($AA26)="pate de noisette"),OR(TRIM($AA26)="tahini puree de sesame",TRIM($AA26)="tahini",TRIM($AA26)="puree de sesame")),"",IF(BT26="X","X",IF(OR(BT26="?",ISNUMBER(SEARCH(" bloody mary ",$AA26))),"?","")))),"")</f>
        <v/>
      </c>
      <c r="N26" s="233" t="str">
        <f>IF(26=26,IF($B26="","",IF(OR(OR(TRIM($AA26)="puree pate d amande",TRIM($AA26)="pate puree d amande",TRIM($AA26)="puree d amande",TRIM($AA26)="pate d amande",TRIM($AA26)="pate puree de noisette",TRIM($AA26)="puree pate de noisette",TRIM($AA26)="puree de noisette",TRIM($AA26)="pate de noisette"),OR(TRIM($AA26)="tahini puree de sesame",TRIM($AA26)="tahini",TRIM($AA26)="puree de sesame")),"",IF(BW26="X","X",IF(OR(BW26="?",ISNUMBER(SEARCH(" bloody mary ",$AA26))),"?","")))),"")</f>
        <v/>
      </c>
      <c r="O26" s="233" t="str">
        <f>IF(26=26,IF($B26="","",BZ26),"")</f>
        <v/>
      </c>
      <c r="P26" s="233" t="str">
        <f>IF(26=26,IF($B26="","",CC26),"")</f>
        <v/>
      </c>
      <c r="Q26" s="233" t="str">
        <f>IF(26=26,IF($B26="","",CF26),"")</f>
        <v/>
      </c>
      <c r="R26" s="233" t="str">
        <f>IF(26=26,IF($B26="","",IF(TRIM($AA26)="fruits a coque","",IF(CL26="X","X",IF(OR(CL26="?",OR(ISNUMBER(SEARCH(" clamato ",$AA26)),ISNUMBER(SEARCH(" bloody caesar ",$AA26)))),"?","")))),"")</f>
        <v/>
      </c>
      <c r="S26" s="234" t="str">
        <f>IF(26=26,IF($B26="","",IF(E26="?",""&amp;"Céréales contenant du gluten","")&amp;IF(F26="?",IF(COUNTIF($E26:$E26,"~?")&gt;0,", ","")&amp;"Crustacés","")&amp;IF(G26="?",IF(COUNTIF($E26:$F26,"~?")&gt;0,", ","")&amp;"Œufs","")&amp;IF(H26="?",IF(COUNTIF($E26:$G26,"~?")&gt;0,", ","")&amp;"Poissons","")&amp;IF(I26="?",IF(COUNTIF($E26:$H26,"~?")&gt;0,", ","")&amp;"Arachides","")&amp;IF(J26="?",IF(COUNTIF($E26:$I26,"~?")&gt;0,", ","")&amp;"Soja","")&amp;IF(K26="?",IF(COUNTIF($E26:$J26,"~?")&gt;0,", ","")&amp;"Lait","")&amp;IF(L26="?",IF(COUNTIF($E26:$K26,"~?")&gt;0,", ","")&amp;"Fruits à coque","")&amp;IF(M26="?",IF(COUNTIF($E26:$L26,"~?")&gt;0,", ","")&amp;"Céleri","")&amp;IF(N26="?",IF(COUNTIF($E26:$M26,"~?")&gt;0,", ","")&amp;"Moutarde","")&amp;IF(O26="?",IF(COUNTIF($E26:$N26,"~?")&gt;0,", ","")&amp;"Sésame","")&amp;IF(P26="?",IF(COUNTIF($E26:$O26,"~?")&gt;0,", ","")&amp;"Sulfites","")&amp;IF(Q26="?",IF(COUNTIF($E26:$P26,"~?")&gt;0,", ","")&amp;"Lupin","")&amp;IF(R26="?",IF(COUNTIF($E26:$Q26,"~?")&gt;0,", ","")&amp;"Mollusques","")),"")</f>
        <v/>
      </c>
      <c r="U26" s="209" t="str">
        <f>IF(26=26,IF($B26="","",$B26),"")</f>
        <v>Liqueur de noisette / noix</v>
      </c>
      <c r="V26" s="209" t="str">
        <f>IF(26=26,LOWER(CLEAN(SUBSTITUTE(SUBSTITUTE(SUBSTITUTE(SUBSTITUTE($U26,CHAR(160)," ")," "," "),CHAR(10)," "),CHAR(13)," "))),"")</f>
        <v>liqueur de noisette / noix</v>
      </c>
      <c r="W26" s="209" t="str">
        <f>IF(26=26,SUBSTITUTE(SUBSTITUTE(SUBSTITUTE(SUBSTITUTE(SUBSTITUTE(SUBSTITUTE(SUBSTITUTE(SUBSTITUTE(SUBSTITUTE(SUBSTITUTE(SUBSTITUTE(SUBSTITUTE($V26,"œ","oe"),"æ","ae"),"à","a"),"á","a"),"â","a"),"ä","a"),"ã","a"),"ç","c"),"è","e"),"é","e"),"ê","e"),"ë","e"),"")</f>
        <v>liqueur de noisette / noix</v>
      </c>
      <c r="X26" s="209" t="str">
        <f>IF(26=26,SUBSTITUTE(SUBSTITUTE(SUBSTITUTE(SUBSTITUTE(SUBSTITUTE(SUBSTITUTE(SUBSTITUTE(SUBSTITUTE(SUBSTITUTE(SUBSTITUTE(SUBSTITUTE(SUBSTITUTE(SUBSTITUTE(SUBSTITUTE(SUBSTITUTE(SUBSTITUTE($W26,"ì","i"),"í","i"),"î","i"),"ï","i"),"ñ","n"),"ò","o"),"ó","o"),"ô","o"),"ö","o"),"õ","o"),"ù","u"),"ú","u"),"û","u"),"ü","u"),"ý","y"),"ÿ","y"),"")</f>
        <v>liqueur de noisette / noix</v>
      </c>
      <c r="Y26" s="209" t="str">
        <f>IF(26=26,SUBSTITUTE(SUBSTITUTE(SUBSTITUTE(SUBSTITUTE(SUBSTITUTE(SUBSTITUTE(SUBSTITUTE(SUBSTITUTE(SUBSTITUTE(SUBSTITUTE(SUBSTITUTE(SUBSTITUTE(SUBSTITUTE(SUBSTITUTE($X26,"’"," "),"`"," "),"–"," "),"—"," "),"-"," "),"'"," "),"/"," "),"_"," "),","," "),"."," "),"("," "),")"," "),";"," "),":"," "),"")</f>
        <v>liqueur de noisette   noix</v>
      </c>
      <c r="Z26" s="209" t="str">
        <f>IF(26=26,SUBSTITUTE(SUBSTITUTE(SUBSTITUTE(SUBSTITUTE(SUBSTITUTE(SUBSTITUTE(SUBSTITUTE(SUBSTITUTE(SUBSTITUTE(SUBSTITUTE(SUBSTITUTE(SUBSTITUTE(SUBSTITUTE(SUBSTITUTE(SUBSTITUTE($Y26,"!"," "),"?"," "),"+"," "),"*"," "),"&amp;"," "),"["," "),"]"," "),"{"," "),"}"," "),"%"," "),"="," "),"\"," "),"|"," "),"&lt;"," "),"&gt;"," "),"")</f>
        <v>liqueur de noisette   noix</v>
      </c>
      <c r="AA26" s="209" t="str">
        <f>IF(26=26," "&amp;TRIM(SUBSTITUTE(SUBSTITUTE(SUBSTITUTE(SUBSTITUTE(SUBSTITUTE(SUBSTITUTE($Z26,CHAR(34)," "),"  "," "),"  "," "),"  "," "),"  "," "),"  "," "))&amp;" ","")</f>
        <v xml:space="preserve"> liqueur de noisette noix </v>
      </c>
      <c r="AB26" s="209">
        <f>IF(26=26,IF($U26="","",SUMPRODUCT(--ISNUMBER(SEARCH(" "&amp;$CR$2:$CR$101&amp;" ",$AD26)))),"")</f>
        <v>0</v>
      </c>
      <c r="AC26" s="209">
        <f>IF(26=26,IF($U26="","",SUMPRODUCT(--ISNUMBER(SEARCH(" "&amp;$CR$102:$CR$151&amp;" ",$AD26)))),"")</f>
        <v>0</v>
      </c>
      <c r="AD26" s="209" t="str">
        <f t="shared" si="1"/>
        <v xml:space="preserve"> liqueur de noisette noix </v>
      </c>
      <c r="AE26" s="209">
        <f t="shared" si="2"/>
        <v>0</v>
      </c>
      <c r="AF26" s="209" t="str">
        <f>IF(26=26,IF($U26="","",IF(SUM(AB26:AC26)+SUMPRODUCT(--ISNUMBER(SEARCH(" "&amp;$CR$2418:$CR$2420&amp;" ",$AD26)))&gt;0,"X",IF(AE26&gt;0,"?",""))),"")</f>
        <v/>
      </c>
      <c r="AG26" s="209">
        <f>IF(26=26,IF($U26="","",SUMPRODUCT(--ISNUMBER(SEARCH(" "&amp;$CR$206:$CR$305&amp;" ",$AA26)))),"")</f>
        <v>0</v>
      </c>
      <c r="AH26" s="209">
        <f>IF(26=26,IF($U26="","",SUMPRODUCT(--ISNUMBER(SEARCH(" "&amp;$CR$306:$CR$340&amp;" ",$AA26)))),"")</f>
        <v>0</v>
      </c>
      <c r="AI26" s="209" t="str">
        <f>IF(26=26,IF($U26="","",IF((SUM(AG26:AH26))-(0)&gt;0,"X",IF((0)-(0)&gt;0,"?",""))),"")</f>
        <v/>
      </c>
      <c r="AJ26" s="209">
        <f>IF(26=26,IF($U26="","",SUMPRODUCT(--ISNUMBER(SEARCH(" "&amp;$CR$341:$CR$398&amp;" ",$AA26)))),"")</f>
        <v>0</v>
      </c>
      <c r="AK26" s="209">
        <f>IF(26=26,IF($U26="","",SUMPRODUCT(--ISNUMBER(SEARCH(" "&amp;$CR$399:$CR$426&amp;" ",$AL26)))+SUMPRODUCT(--ISNUMBER(SEARCH(" "&amp;$CR$2440:$CR$2453&amp;" ",$AL26)))),"")</f>
        <v>0</v>
      </c>
      <c r="AL26" s="209" t="str">
        <f>IF(26=26,IF($U26="","",SUBSTITUTE(SUBSTITUTE(SUBSTITUTE(SUBSTITUTE(SUBSTITUTE(SUBSTITUTE(SUBSTITUTE(SUBSTITUTE(SUBSTITUTE(SUBSTITUTE(SUBSTITUTE(SUBSTITUTE(SUBSTITUTE(SUBSTITUTE($AA26,"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liqueur de noisette noix </v>
      </c>
      <c r="AM26" s="209" t="str">
        <f>IF(26=26,IF($U26="","",IF(AJ26&gt;0,"X",IF(AK26&gt;0,"?",""))),"")</f>
        <v/>
      </c>
      <c r="AN26" s="209">
        <f>IF(26=26,IF($U26="","",SUMPRODUCT(--ISNUMBER(SEARCH(" "&amp;$CR$436:$CR$535&amp;" ",$AX26)))),"")</f>
        <v>0</v>
      </c>
      <c r="AO26" s="209">
        <f>IF(26=26,IF($U26="","",SUMPRODUCT(--ISNUMBER(SEARCH(" "&amp;$CR$536:$CR$635&amp;" ",$AX26)))),"")</f>
        <v>0</v>
      </c>
      <c r="AP26" s="209">
        <f>IF(26=26,IF($U26="","",SUMPRODUCT(--ISNUMBER(SEARCH(" "&amp;$CR$636:$CR$735&amp;" ",$AX26)))),"")</f>
        <v>0</v>
      </c>
      <c r="AQ26" s="209">
        <f>IF(26=26,IF($U26="","",SUMPRODUCT(--ISNUMBER(SEARCH(" "&amp;$CR$736:$CR$835&amp;" ",$AX26)))),"")</f>
        <v>0</v>
      </c>
      <c r="AR26" s="209">
        <f>IF(26=26,IF($U26="","",SUMPRODUCT(--ISNUMBER(SEARCH(" "&amp;$CR$836:$CR$935&amp;" ",$AX26)))),"")</f>
        <v>0</v>
      </c>
      <c r="AS26" s="209">
        <f>IF(26=26,IF($U26="","",SUMPRODUCT(--ISNUMBER(SEARCH(" "&amp;$CR$936:$CR$1035&amp;" ",$AX26)))),"")</f>
        <v>0</v>
      </c>
      <c r="AT26" s="209">
        <f>IF(26=26,IF($U26="","",SUMPRODUCT(--ISNUMBER(SEARCH(" "&amp;$CR$1036:$CR$1135&amp;" ",$AX26)))),"")</f>
        <v>0</v>
      </c>
      <c r="AU26" s="209">
        <f>IF(26=26,IF($U26="","",SUMPRODUCT(--ISNUMBER(SEARCH(" "&amp;$CR$1136:$CR$1235&amp;" ",$AX26)))),"")</f>
        <v>0</v>
      </c>
      <c r="AV26" s="209">
        <f>IF(26=26,IF($U26="","",SUMPRODUCT(--ISNUMBER(SEARCH(" "&amp;$CR$1236:$CR$1335&amp;" ",$AX26)))),"")</f>
        <v>0</v>
      </c>
      <c r="AW26" s="209">
        <f>IF(26=26,IF($U26="","",SUMPRODUCT(--ISNUMBER(SEARCH(" "&amp;$CR$1336:$CR$1363&amp;" ",$AX26)))),"")</f>
        <v>0</v>
      </c>
      <c r="AX26" s="209" t="str">
        <f>IF(26=26,IF($U26="","",SUBSTITUTE(SUBSTITUTE(SUBSTITUTE(SUBSTITUTE(SUBSTITUTE(SUBSTITUTE(SUBSTITUTE(SUBSTITUTE(SUBSTITUTE($AA26,"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liqueur de noisette noix </v>
      </c>
      <c r="AY26" s="209">
        <f>IF(26=26,IF($U26="","",SUMPRODUCT(--ISNUMBER(SEARCH(" "&amp;$CR$1373:$CR$1383&amp;" ",$AX26)))),"")</f>
        <v>0</v>
      </c>
      <c r="AZ26" s="209" t="str">
        <f>IF(26=26,IF($U26="","",IF(SUM(AN26:AW26)+SUMPRODUCT(--ISNUMBER(SEARCH(" "&amp;$CR$2421:$CR$2422&amp;" ",$AX26)))&gt;0,"X",IF(AY26&gt;0,"?",""))),"")</f>
        <v/>
      </c>
      <c r="BA26" s="209">
        <f>IF(26=26,IF($U26="","",SUMPRODUCT(--ISNUMBER(SEARCH(" "&amp;$CR$1384:$CR$1404&amp;" ",$AA26)))),"")</f>
        <v>0</v>
      </c>
      <c r="BB26" s="209" t="str">
        <f>IF(26=26,IF($U26="","",IF((BA26)-(0)&gt;0,"X",IF((0)-(0)&gt;0,"?",""))),"")</f>
        <v/>
      </c>
      <c r="BC26" s="209">
        <f>IF(26=26,IF($U26="","",SUMPRODUCT(--ISNUMBER(SEARCH(" "&amp;$CR$1405:$CR$1442&amp;" ",$BD26)))),"")</f>
        <v>0</v>
      </c>
      <c r="BD26" s="209" t="str">
        <f>IF(26=26,IF($U26="","",SUBSTITUTE(SUBSTITUTE($AA26," "&amp;$CR$1443&amp;" "," ")," "&amp;$CR$1444&amp;" "," ")),"")</f>
        <v xml:space="preserve"> liqueur de noisette noix </v>
      </c>
      <c r="BE26" s="209">
        <f>IF(26=26,IF($U26="","",SUMPRODUCT(--ISNUMBER(SEARCH(" "&amp;$CR$1445:$CR$1455&amp;" ",$BD26)))),"")</f>
        <v>0</v>
      </c>
      <c r="BF26" s="209" t="str">
        <f>IF(26=26,IF($U26="","",IF(BC26&gt;0,"X",IF(BE26&gt;0,"?",""))),"")</f>
        <v/>
      </c>
      <c r="BG26" s="209">
        <f>IF(26=26,IF($U26="","",SUMPRODUCT(--ISNUMBER(SEARCH(" "&amp;$CR$1456:$CR$1555&amp;" ",$BJ26)))),"")</f>
        <v>0</v>
      </c>
      <c r="BH26" s="209">
        <f>IF(26=26,IF($U26="","",SUMPRODUCT(--ISNUMBER(SEARCH(" "&amp;$CR$1556:$CR$1655&amp;" ",$BJ26)))),"")</f>
        <v>0</v>
      </c>
      <c r="BI26" s="209">
        <f>IF(26=26,IF($U26="","",SUMPRODUCT(--ISNUMBER(SEARCH(" "&amp;$CR$1656:$CR$1739&amp;" ",$BJ26)))),"")</f>
        <v>0</v>
      </c>
      <c r="BJ26" s="209" t="str">
        <f>IF(26=26,IF($U26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26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liqueur de noisette noix </v>
      </c>
      <c r="BK26" s="209">
        <f>IF(26=26,IF($U26="","",SUMPRODUCT(--ISNUMBER(SEARCH(" "&amp;$CR$1790:$CR$1869&amp;" ",$BL26)))+SUMPRODUCT(--ISNUMBER(SEARCH(" "&amp;$CR$2440:$CR$2453&amp;" ",$BL26)))),"")</f>
        <v>0</v>
      </c>
      <c r="BL26" s="209" t="str">
        <f>IF(26=26,IF($U26="","",SUBSTITUTE(SUBSTITUTE(SUBSTITUTE(SUBSTITUTE(SUBSTITUTE(SUBSTITUTE(SUBSTITUTE(SUBSTITUTE(SUBSTITUTE(SUBSTITUTE(SUBSTITUTE(SUBSTITUTE(SUBSTITUTE($BJ26,"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liqueur de noisette noix </v>
      </c>
      <c r="BM26" s="209" t="str">
        <f>IF(26=26,IF($U26="","",IF(SUM(BG26:BI26)+SUMPRODUCT(--ISNUMBER(SEARCH(" "&amp;$CR$2423:$CR$2424&amp;" ",$BJ26)))&gt;0,"X",IF(BK26&gt;0,"?",""))),"")</f>
        <v/>
      </c>
      <c r="BN26" s="209">
        <f>IF(26=26,IF($U26="","",SUMPRODUCT(--ISNUMBER(SEARCH(" "&amp;$CR$1879:$CR$1936&amp;" ",$BO26)))),"")</f>
        <v>2</v>
      </c>
      <c r="BO26" s="209" t="str">
        <f>IF(26=26,IF($U26="","",SUBSTITUTE(SUBSTITUTE(SUBSTITUTE(SUBSTITUTE(SUBSTITUTE(SUBSTITUTE(SUBSTITUTE(SUBSTITUTE(SUBSTITUTE(SUBSTITUTE(SUBSTITUTE(SUBSTITUTE(SUBSTITUTE(SUBSTITUTE(SUBSTITUTE(SUBSTITUTE(SUBSTITUTE(SUBSTITUTE(SUBSTITUTE(SUBSTITUTE(SUBSTITUTE(SUBSTITUTE(SUBSTITUTE($AA26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liqueur de noisette noix </v>
      </c>
      <c r="BP26" s="209">
        <f>IF(26=26,IF($U26="","",SUMPRODUCT(--ISNUMBER(SEARCH(" "&amp;$CR$1960:$CR$1976&amp;" ",$BO26)))),"")</f>
        <v>0</v>
      </c>
      <c r="BQ26" s="209" t="str">
        <f>IF(26=26,IF($U26="","",IF(BN26&gt;0,"X",IF(BP26&gt;0,"?",""))),"")</f>
        <v>X</v>
      </c>
      <c r="BR26" s="209">
        <f>IF(26=26,IF($U26="","",SUMPRODUCT(--ISNUMBER(SEARCH(" "&amp;$CR$1977:$CR$1990&amp;" ",$AA26)))),"")</f>
        <v>0</v>
      </c>
      <c r="BS26" s="209">
        <f>IF(26=26,IF($U26="","",SUMPRODUCT(--ISNUMBER(SEARCH(" "&amp;$CR$1991:$CR$2005&amp;" ",$AA26)))),"")</f>
        <v>0</v>
      </c>
      <c r="BT26" s="209" t="str">
        <f>IF(26=26,IF($U26="","",IF((BR26)-(0)&gt;0,"X",IF((BS26)-(0)&gt;0,"?",""))),"")</f>
        <v/>
      </c>
      <c r="BU26" s="209">
        <f>IF(26=26,IF($U26="","",SUMPRODUCT(--ISNUMBER(SEARCH(" "&amp;$CR$2006:$CR$2023&amp;" ",$AA26)))),"")</f>
        <v>0</v>
      </c>
      <c r="BV26" s="209">
        <f>IF(26=26,IF($U26="","",SUMPRODUCT(--ISNUMBER(SEARCH(" "&amp;$CR$2024:$CR$2038&amp;" ",$AA26)))),"")</f>
        <v>0</v>
      </c>
      <c r="BW26" s="209" t="str">
        <f>IF(26=26,IF($U26="","",IF((BU26)-(0)&gt;0,"X",IF((BV26)-(0)&gt;0,"?",""))),"")</f>
        <v/>
      </c>
      <c r="BX26" s="209">
        <f>IF(26=26,IF($U26="","",SUMPRODUCT(--ISNUMBER(SEARCH(" "&amp;$CR$2039:$CR$2057&amp;" ",$AA26)))),"")</f>
        <v>0</v>
      </c>
      <c r="BY26" s="209">
        <f>IF(26=26,IF($U26="","",SUMPRODUCT(--ISNUMBER(SEARCH(" "&amp;$CR$2058:$CR$2072&amp;" ",$AA26)))),"")</f>
        <v>0</v>
      </c>
      <c r="BZ26" s="209" t="str">
        <f>IF(26=26,IF($U26="","",IF((BX26)-(0)&gt;0,"X",IF((BY26)-(0)&gt;0,"?",""))),"")</f>
        <v/>
      </c>
      <c r="CA26" s="209">
        <f>IF(26=26,IF($U26="","",SUMPRODUCT(--ISNUMBER(SEARCH(" "&amp;$CR$2073:$CR$2093&amp;" ",$AA26)))),"")</f>
        <v>0</v>
      </c>
      <c r="CB26" s="209">
        <f>IF(26=26,IF($U26="","",SUMPRODUCT(--ISNUMBER(SEARCH(" "&amp;$CR$2094:$CR$2133&amp;" ",SUBSTITUTE(SUBSTITUTE($AA26," "&amp;$CR$1367&amp;" "," ")," "&amp;$CR$1366&amp;" "," "))))+--ISNUMBER(SEARCH("poiré",$V26))),"")</f>
        <v>0</v>
      </c>
      <c r="CC26" s="209" t="str">
        <f>IF(26=26,IF($U26="","",IF(OR(CA26&gt;0,ISNUMBER(SEARCH(" vinaigre de vin ",$AA26)),ISNUMBER(SEARCH(" vinaigre au vin ",$AA26))),"X",IF(CB26&gt;0,"?",""))),"")</f>
        <v/>
      </c>
      <c r="CD26" s="209">
        <f>IF(26=26,IF($U26="","",SUMPRODUCT(--ISNUMBER(SEARCH(" "&amp;$CR$2134:$CR$2146&amp;" ",$AA26)))),"")</f>
        <v>0</v>
      </c>
      <c r="CE26" s="209">
        <f>IF(26=26,IF($U26="","",SUMPRODUCT(--ISNUMBER(SEARCH(" "&amp;$CR$2147:$CR$2152&amp;" ",$AA26)))),"")</f>
        <v>0</v>
      </c>
      <c r="CF26" s="209" t="str">
        <f>IF(26=26,IF($U26="","",IF((CD26)-(0)&gt;0,"X",IF((CE26)-(0)&gt;0,"?",""))),"")</f>
        <v/>
      </c>
      <c r="CG26" s="209">
        <f>IF(26=26,IF($U26="","",SUMPRODUCT(--ISNUMBER(SEARCH(" "&amp;$CR$2153:$CR$2252&amp;" ",$CJ26)))),"")</f>
        <v>0</v>
      </c>
      <c r="CH26" s="209">
        <f>IF(26=26,IF($U26="","",SUMPRODUCT(--ISNUMBER(SEARCH(" "&amp;$CR$2253:$CR$2352&amp;" ",$CJ26)))),"")</f>
        <v>0</v>
      </c>
      <c r="CI26" s="209">
        <f>IF(26=26,IF($U26="","",SUMPRODUCT(--ISNUMBER(SEARCH(" "&amp;$CR$2353:$CR$2395&amp;" ",$CJ26)))),"")</f>
        <v>0</v>
      </c>
      <c r="CJ26" s="209" t="str">
        <f>IF(26=26,IF($U26="","",SUBSTITUTE(SUBSTITUTE(SUBSTITUTE(SUBSTITUTE(SUBSTITUTE(SUBSTITUTE(SUBSTITUTE(SUBSTITUTE(SUBSTITUTE(SUBSTITUTE(SUBSTITUTE(SUBSTITUTE(SUBSTITUTE(SUBSTITUTE(SUBSTITUTE(SUBSTITUTE($AA26,"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liqueur de noisette noix </v>
      </c>
      <c r="CK26" s="209">
        <f>IF(26=26,IF($U26="","",SUMPRODUCT(--ISNUMBER(SEARCH(" "&amp;$CR$2412:$CR$2416&amp;" ",$CJ26)))),"")</f>
        <v>0</v>
      </c>
      <c r="CL26" s="209" t="str">
        <f>IF(26=26,IF($U26="","",IF(SUM(CG26:CI26)&gt;0,"X",IF(CK26&gt;0,"?",""))),"")</f>
        <v/>
      </c>
      <c r="CM26" s="210"/>
      <c r="CN26" s="213" t="s">
        <v>1018</v>
      </c>
      <c r="CO26" s="213" t="s">
        <v>878</v>
      </c>
      <c r="CP26" s="213" t="s">
        <v>879</v>
      </c>
      <c r="CQ26" s="213" t="s">
        <v>1019</v>
      </c>
      <c r="CR26" s="213" t="s">
        <v>1019</v>
      </c>
      <c r="CS26" s="213" t="s">
        <v>881</v>
      </c>
      <c r="CT26" s="213" t="s">
        <v>882</v>
      </c>
      <c r="CU26" s="213" t="s">
        <v>883</v>
      </c>
      <c r="CV26" s="214" t="s">
        <v>884</v>
      </c>
      <c r="CX26" s="212">
        <v>1</v>
      </c>
    </row>
    <row r="27" spans="1:102" ht="21" customHeight="1">
      <c r="A27" s="229">
        <v>21</v>
      </c>
      <c r="B27" s="230" t="s">
        <v>6525</v>
      </c>
      <c r="C27" s="231" t="str">
        <f t="shared" si="0"/>
        <v>Bière à base d'orge, blé ou avoine *</v>
      </c>
      <c r="D27" s="232" t="str">
        <f>IF(27=27,IF($B27="","",IF(E27="X",""&amp;"Céréales contenant du gluten","")&amp;IF(F27="X",IF(COUNTIF($E27:$E27,"X")&gt;0,", ","")&amp;"Crustacés","")&amp;IF(G27="X",IF(COUNTIF($E27:$F27,"X")&gt;0,", ","")&amp;"Œufs","")&amp;IF(H27="X",IF(COUNTIF($E27:$G27,"X")&gt;0,", ","")&amp;"Poissons","")&amp;IF(I27="X",IF(COUNTIF($E27:$H27,"X")&gt;0,", ","")&amp;"Arachides","")&amp;IF(J27="X",IF(COUNTIF($E27:$I27,"X")&gt;0,", ","")&amp;"Soja","")&amp;IF(K27="X",IF(COUNTIF($E27:$J27,"X")&gt;0,", ","")&amp;"Lait","")&amp;IF(L27="X",IF(COUNTIF($E27:$K27,"X")&gt;0,", ","")&amp;"Fruits à coque","")&amp;IF(M27="X",IF(COUNTIF($E27:$L27,"X")&gt;0,", ","")&amp;"Céleri","")&amp;IF(N27="X",IF(COUNTIF($E27:$M27,"X")&gt;0,", ","")&amp;"Moutarde","")&amp;IF(O27="X",IF(COUNTIF($E27:$N27,"X")&gt;0,", ","")&amp;"Sésame","")&amp;IF(P27="X",IF(COUNTIF($E27:$O27,"X")&gt;0,", ","")&amp;"Sulfites","")&amp;IF(Q27="X",IF(COUNTIF($E27:$P27,"X")&gt;0,", ","")&amp;"Lupin","")&amp;IF(R27="X",IF(COUNTIF($E27:$Q27,"X")&gt;0,", ","")&amp;"Mollusques","")),"")</f>
        <v>Céréales contenant du gluten</v>
      </c>
      <c r="E27" s="233" t="str">
        <f>IF(27=27,IF($B27="","",IF(OR(ISNUMBER(SEARCH(" biere sans gluten ",$AA27)),ISNUMBER(SEARCH(" gluten free beer ",$AA27)),ISNUMBER(SEARCH(" beer gluten free ",$AA27))),"",IF(AF27="X","X",IF(OR(AF27="?",OR(ISNUMBER(SEARCH(" worcestershire ",$AA27)),ISNUMBER(SEARCH(" bloody mary ",$AA27)))),"?","")))),"")</f>
        <v>X</v>
      </c>
      <c r="F27" s="233" t="str">
        <f>IF(27=27,IF($B27="","",AI27),"")</f>
        <v/>
      </c>
      <c r="G27" s="233" t="str">
        <f>IF(27=27,IF($B27="","",IF(OR(TRIM($AA27)="puree pate d amande",TRIM($AA27)="pate puree d amande",TRIM($AA27)="puree d amande",TRIM($AA27)="pate d amande",TRIM($AA27)="pate puree de noisette",TRIM($AA27)="puree pate de noisette",TRIM($AA27)="puree de noisette",TRIM($AA27)="pate de noisette"),"",IF(OR(AM27="X",OR(ISNUMBER(SEARCH(" macaron ",$AA27)),ISNUMBER(SEARCH(" egg nog ",$AA27)),ISNUMBER(SEARCH(" eggnog ",$AA27)))),"X",IF(OR(AM27="?",OR(ISNUMBER(SEARCH(" biscuit decoratif ",$AA27)),ISNUMBER(SEARCH(" whisky sour ",$AA27)),ISNUMBER(SEARCH(" whiskey sour ",$AA27)),ISNUMBER(SEARCH(" amaretto sour ",$AA27)),ISNUMBER(SEARCH(" pisco sour ",$AA27)),ISNUMBER(SEARCH(" clover club ",$AA27)),ISNUMBER(SEARCH(" ramos gin fizz ",$AA27)))),"?","")))),"")</f>
        <v/>
      </c>
      <c r="H27" s="233" t="str">
        <f>IF(27=27,IF($B27="","",IF(ISNUMBER(SEARCH(" colin ",$AA27)),"X",IF(AZ27="X","X",IF(OR(AZ27="?",OR(ISNUMBER(SEARCH(" worcestershire ",$AA27)),ISNUMBER(SEARCH(" bloody mary ",$AA27)))),"?","")))),"")</f>
        <v/>
      </c>
      <c r="I27" s="233" t="str">
        <f>IF(27=27,IF($B27="","",BB27),"")</f>
        <v/>
      </c>
      <c r="J27" s="233" t="str">
        <f>IF(27=27,IF($B27="","",BF27),"")</f>
        <v/>
      </c>
      <c r="K27" s="233" t="str">
        <f>IF(27=27,IF($B27="","",IF(OR(OR(TRIM($AA27)="puree pate d amande",TRIM($AA27)="pate puree d amande",TRIM($AA27)="puree d amande",TRIM($AA27)="pate d amande",TRIM($AA27)="pate puree de noisette",TRIM($AA27)="puree pate de noisette",TRIM($AA27)="puree de noisette",TRIM($AA27)="pate de noisette"),OR(TRIM($AA27)="beurre puree d arachide",TRIM($AA27)="beurre d arachide",TRIM($AA27)="puree d arachide"),OR(TRIM($AA27)="tahini puree de sesame",TRIM($AA27)="tahini",TRIM($AA27)="puree de sesame")),"",IF(OR(TRIM($AA27)="creme de cassis",TRIM($AA27)="creme de menthe",TRIM($AA27)="creme de cacao",TRIM($AA27)="creme de mure",TRIM($AA27)="creme de framboise",TRIM($AA27)="creme de peche",TRIM($AA27)="creme de banane",TRIM($AA27)="liqueur creme de coco",TRIM($AA27)="creme de coco",TRIM($AA27)="spiritueux aromatise arrange creme de spiritueux"),"?",IF(OR(BM27="X",OR(ISNUMBER(SEARCH(" baileys ",$AA27)),ISNUMBER(SEARCH(" irish cream ",$AA27)),ISNUMBER(SEARCH(" creme de whisky ",$AA27)))),"X",IF(OR(BM27="?",OR(OR(TRIM($AA27)="creme de cassis",TRIM($AA27)="creme de menthe",TRIM($AA27)="creme de cacao",TRIM($AA27)="creme de mure",TRIM($AA27)="creme de framboise",TRIM($AA27)="creme de peche",TRIM($AA27)="creme de banane",TRIM($AA27)="liqueur creme de coco",TRIM($AA27)="creme de coco",TRIM($AA27)="spiritueux aromatise arrange creme de spiritueux"),ISNUMBER(SEARCH(" advocaat ",$AA27)),ISNUMBER(SEARCH(" liqueur aux oeufs ",$AA27)),ISNUMBER(SEARCH(" liqueur de chocolat ",$AA27)),ISNUMBER(SEARCH(" liqueur de caramel ",$AA27)),ISNUMBER(SEARCH(" sauce nappage chocolat ",$AA27)),ISNUMBER(SEARCH(" biscuit decoratif ",$AA27)),ISNUMBER(SEARCH(" white russian ",$AA27)),ISNUMBER(SEARCH(" grasshopper ",$AA27)),ISNUMBER(SEARCH(" irish coffee ",$AA27)),ISNUMBER(SEARCH(" ramos gin fizz ",$AA27)),ISNUMBER(SEARCH(" egg nog ",$AA27)),ISNUMBER(SEARCH(" eggnog ",$AA27)))),"?",""))))),"")</f>
        <v/>
      </c>
      <c r="L27" s="233" t="str">
        <f>IF(27=27,IF($B27="","",IF(OR(BQ27="X",OR(OR(TRIM($AA27)="puree pate d amande",TRIM($AA27)="pate puree d amande",TRIM($AA27)="puree d amande",TRIM($AA27)="pate d amande",TRIM($AA27)="pate puree de noisette",TRIM($AA27)="puree pate de noisette",TRIM($AA27)="puree de noisette",TRIM($AA27)="pate de noisette"),ISNUMBER(SEARCH(" macaron ",$AA27)),TRIM($AA27)="fruits a coque")),"X",IF(OR(BQ27="?",OR(ISNUMBER(SEARCH(" sirop d orgeat ",$AA27)),ISNUMBER(SEARCH(" orgeat ",$AA27)),ISNUMBER(SEARCH(" amaretto ",$AA27)))),"?",""))),"")</f>
        <v/>
      </c>
      <c r="M27" s="233" t="str">
        <f>IF(27=27,IF($B27="","",IF(OR(OR(TRIM($AA27)="puree pate d amande",TRIM($AA27)="pate puree d amande",TRIM($AA27)="puree d amande",TRIM($AA27)="pate d amande",TRIM($AA27)="pate puree de noisette",TRIM($AA27)="puree pate de noisette",TRIM($AA27)="puree de noisette",TRIM($AA27)="pate de noisette"),OR(TRIM($AA27)="tahini puree de sesame",TRIM($AA27)="tahini",TRIM($AA27)="puree de sesame")),"",IF(BT27="X","X",IF(OR(BT27="?",ISNUMBER(SEARCH(" bloody mary ",$AA27))),"?","")))),"")</f>
        <v/>
      </c>
      <c r="N27" s="233" t="str">
        <f>IF(27=27,IF($B27="","",IF(OR(OR(TRIM($AA27)="puree pate d amande",TRIM($AA27)="pate puree d amande",TRIM($AA27)="puree d amande",TRIM($AA27)="pate d amande",TRIM($AA27)="pate puree de noisette",TRIM($AA27)="puree pate de noisette",TRIM($AA27)="puree de noisette",TRIM($AA27)="pate de noisette"),OR(TRIM($AA27)="tahini puree de sesame",TRIM($AA27)="tahini",TRIM($AA27)="puree de sesame")),"",IF(BW27="X","X",IF(OR(BW27="?",ISNUMBER(SEARCH(" bloody mary ",$AA27))),"?","")))),"")</f>
        <v/>
      </c>
      <c r="O27" s="233" t="str">
        <f>IF(27=27,IF($B27="","",BZ27),"")</f>
        <v/>
      </c>
      <c r="P27" s="233" t="str">
        <f>IF(27=27,IF($B27="","",CC27),"")</f>
        <v>?</v>
      </c>
      <c r="Q27" s="233" t="str">
        <f>IF(27=27,IF($B27="","",CF27),"")</f>
        <v/>
      </c>
      <c r="R27" s="233" t="str">
        <f>IF(27=27,IF($B27="","",IF(TRIM($AA27)="fruits a coque","",IF(CL27="X","X",IF(OR(CL27="?",OR(ISNUMBER(SEARCH(" clamato ",$AA27)),ISNUMBER(SEARCH(" bloody caesar ",$AA27)))),"?","")))),"")</f>
        <v/>
      </c>
      <c r="S27" s="234" t="str">
        <f>IF(27=27,IF($B27="","",IF(E27="?",""&amp;"Céréales contenant du gluten","")&amp;IF(F27="?",IF(COUNTIF($E27:$E27,"~?")&gt;0,", ","")&amp;"Crustacés","")&amp;IF(G27="?",IF(COUNTIF($E27:$F27,"~?")&gt;0,", ","")&amp;"Œufs","")&amp;IF(H27="?",IF(COUNTIF($E27:$G27,"~?")&gt;0,", ","")&amp;"Poissons","")&amp;IF(I27="?",IF(COUNTIF($E27:$H27,"~?")&gt;0,", ","")&amp;"Arachides","")&amp;IF(J27="?",IF(COUNTIF($E27:$I27,"~?")&gt;0,", ","")&amp;"Soja","")&amp;IF(K27="?",IF(COUNTIF($E27:$J27,"~?")&gt;0,", ","")&amp;"Lait","")&amp;IF(L27="?",IF(COUNTIF($E27:$K27,"~?")&gt;0,", ","")&amp;"Fruits à coque","")&amp;IF(M27="?",IF(COUNTIF($E27:$L27,"~?")&gt;0,", ","")&amp;"Céleri","")&amp;IF(N27="?",IF(COUNTIF($E27:$M27,"~?")&gt;0,", ","")&amp;"Moutarde","")&amp;IF(O27="?",IF(COUNTIF($E27:$N27,"~?")&gt;0,", ","")&amp;"Sésame","")&amp;IF(P27="?",IF(COUNTIF($E27:$O27,"~?")&gt;0,", ","")&amp;"Sulfites","")&amp;IF(Q27="?",IF(COUNTIF($E27:$P27,"~?")&gt;0,", ","")&amp;"Lupin","")&amp;IF(R27="?",IF(COUNTIF($E27:$Q27,"~?")&gt;0,", ","")&amp;"Mollusques","")),"")</f>
        <v>Sulfites</v>
      </c>
      <c r="U27" s="209" t="str">
        <f>IF(27=27,IF($B27="","",$B27),"")</f>
        <v>Bière à base d'orge, blé ou avoine</v>
      </c>
      <c r="V27" s="209" t="str">
        <f>IF(27=27,LOWER(CLEAN(SUBSTITUTE(SUBSTITUTE(SUBSTITUTE(SUBSTITUTE($U27,CHAR(160)," ")," "," "),CHAR(10)," "),CHAR(13)," "))),"")</f>
        <v>bière à base d'orge, blé ou avoine</v>
      </c>
      <c r="W27" s="209" t="str">
        <f>IF(27=27,SUBSTITUTE(SUBSTITUTE(SUBSTITUTE(SUBSTITUTE(SUBSTITUTE(SUBSTITUTE(SUBSTITUTE(SUBSTITUTE(SUBSTITUTE(SUBSTITUTE(SUBSTITUTE(SUBSTITUTE($V27,"œ","oe"),"æ","ae"),"à","a"),"á","a"),"â","a"),"ä","a"),"ã","a"),"ç","c"),"è","e"),"é","e"),"ê","e"),"ë","e"),"")</f>
        <v>biere a base d'orge, ble ou avoine</v>
      </c>
      <c r="X27" s="209" t="str">
        <f>IF(27=27,SUBSTITUTE(SUBSTITUTE(SUBSTITUTE(SUBSTITUTE(SUBSTITUTE(SUBSTITUTE(SUBSTITUTE(SUBSTITUTE(SUBSTITUTE(SUBSTITUTE(SUBSTITUTE(SUBSTITUTE(SUBSTITUTE(SUBSTITUTE(SUBSTITUTE(SUBSTITUTE($W27,"ì","i"),"í","i"),"î","i"),"ï","i"),"ñ","n"),"ò","o"),"ó","o"),"ô","o"),"ö","o"),"õ","o"),"ù","u"),"ú","u"),"û","u"),"ü","u"),"ý","y"),"ÿ","y"),"")</f>
        <v>biere a base d'orge, ble ou avoine</v>
      </c>
      <c r="Y27" s="209" t="str">
        <f>IF(27=27,SUBSTITUTE(SUBSTITUTE(SUBSTITUTE(SUBSTITUTE(SUBSTITUTE(SUBSTITUTE(SUBSTITUTE(SUBSTITUTE(SUBSTITUTE(SUBSTITUTE(SUBSTITUTE(SUBSTITUTE(SUBSTITUTE(SUBSTITUTE($X27,"’"," "),"`"," "),"–"," "),"—"," "),"-"," "),"'"," "),"/"," "),"_"," "),","," "),"."," "),"("," "),")"," "),";"," "),":"," "),"")</f>
        <v>biere a base d orge  ble ou avoine</v>
      </c>
      <c r="Z27" s="209" t="str">
        <f>IF(27=27,SUBSTITUTE(SUBSTITUTE(SUBSTITUTE(SUBSTITUTE(SUBSTITUTE(SUBSTITUTE(SUBSTITUTE(SUBSTITUTE(SUBSTITUTE(SUBSTITUTE(SUBSTITUTE(SUBSTITUTE(SUBSTITUTE(SUBSTITUTE(SUBSTITUTE($Y27,"!"," "),"?"," "),"+"," "),"*"," "),"&amp;"," "),"["," "),"]"," "),"{"," "),"}"," "),"%"," "),"="," "),"\"," "),"|"," "),"&lt;"," "),"&gt;"," "),"")</f>
        <v>biere a base d orge  ble ou avoine</v>
      </c>
      <c r="AA27" s="209" t="str">
        <f>IF(27=27," "&amp;TRIM(SUBSTITUTE(SUBSTITUTE(SUBSTITUTE(SUBSTITUTE(SUBSTITUTE(SUBSTITUTE($Z27,CHAR(34)," "),"  "," "),"  "," "),"  "," "),"  "," "),"  "," "))&amp;" ","")</f>
        <v xml:space="preserve"> biere a base d orge ble ou avoine </v>
      </c>
      <c r="AB27" s="209">
        <f>IF(27=27,IF($U27="","",SUMPRODUCT(--ISNUMBER(SEARCH(" "&amp;$CR$2:$CR$101&amp;" ",$AD27)))),"")</f>
        <v>4</v>
      </c>
      <c r="AC27" s="209">
        <f>IF(27=27,IF($U27="","",SUMPRODUCT(--ISNUMBER(SEARCH(" "&amp;$CR$102:$CR$151&amp;" ",$AD27)))),"")</f>
        <v>0</v>
      </c>
      <c r="AD27" s="209" t="str">
        <f t="shared" si="1"/>
        <v xml:space="preserve"> biere a base d orge ble ou avoine </v>
      </c>
      <c r="AE27" s="209">
        <f t="shared" si="2"/>
        <v>0</v>
      </c>
      <c r="AF27" s="209" t="str">
        <f>IF(27=27,IF($U27="","",IF(SUM(AB27:AC27)+SUMPRODUCT(--ISNUMBER(SEARCH(" "&amp;$CR$2418:$CR$2420&amp;" ",$AD27)))&gt;0,"X",IF(AE27&gt;0,"?",""))),"")</f>
        <v>X</v>
      </c>
      <c r="AG27" s="209">
        <f>IF(27=27,IF($U27="","",SUMPRODUCT(--ISNUMBER(SEARCH(" "&amp;$CR$206:$CR$305&amp;" ",$AA27)))),"")</f>
        <v>0</v>
      </c>
      <c r="AH27" s="209">
        <f>IF(27=27,IF($U27="","",SUMPRODUCT(--ISNUMBER(SEARCH(" "&amp;$CR$306:$CR$340&amp;" ",$AA27)))),"")</f>
        <v>0</v>
      </c>
      <c r="AI27" s="209" t="str">
        <f>IF(27=27,IF($U27="","",IF((SUM(AG27:AH27))-(0)&gt;0,"X",IF((0)-(0)&gt;0,"?",""))),"")</f>
        <v/>
      </c>
      <c r="AJ27" s="209">
        <f>IF(27=27,IF($U27="","",SUMPRODUCT(--ISNUMBER(SEARCH(" "&amp;$CR$341:$CR$398&amp;" ",$AA27)))),"")</f>
        <v>0</v>
      </c>
      <c r="AK27" s="209">
        <f>IF(27=27,IF($U27="","",SUMPRODUCT(--ISNUMBER(SEARCH(" "&amp;$CR$399:$CR$426&amp;" ",$AL27)))+SUMPRODUCT(--ISNUMBER(SEARCH(" "&amp;$CR$2440:$CR$2453&amp;" ",$AL27)))),"")</f>
        <v>0</v>
      </c>
      <c r="AL27" s="209" t="str">
        <f>IF(27=27,IF($U27="","",SUBSTITUTE(SUBSTITUTE(SUBSTITUTE(SUBSTITUTE(SUBSTITUTE(SUBSTITUTE(SUBSTITUTE(SUBSTITUTE(SUBSTITUTE(SUBSTITUTE(SUBSTITUTE(SUBSTITUTE(SUBSTITUTE(SUBSTITUTE($AA27,"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biere a base d orge ble ou avoine </v>
      </c>
      <c r="AM27" s="209" t="str">
        <f>IF(27=27,IF($U27="","",IF(AJ27&gt;0,"X",IF(AK27&gt;0,"?",""))),"")</f>
        <v/>
      </c>
      <c r="AN27" s="209">
        <f>IF(27=27,IF($U27="","",SUMPRODUCT(--ISNUMBER(SEARCH(" "&amp;$CR$436:$CR$535&amp;" ",$AX27)))),"")</f>
        <v>0</v>
      </c>
      <c r="AO27" s="209">
        <f>IF(27=27,IF($U27="","",SUMPRODUCT(--ISNUMBER(SEARCH(" "&amp;$CR$536:$CR$635&amp;" ",$AX27)))),"")</f>
        <v>0</v>
      </c>
      <c r="AP27" s="209">
        <f>IF(27=27,IF($U27="","",SUMPRODUCT(--ISNUMBER(SEARCH(" "&amp;$CR$636:$CR$735&amp;" ",$AX27)))),"")</f>
        <v>0</v>
      </c>
      <c r="AQ27" s="209">
        <f>IF(27=27,IF($U27="","",SUMPRODUCT(--ISNUMBER(SEARCH(" "&amp;$CR$736:$CR$835&amp;" ",$AX27)))),"")</f>
        <v>0</v>
      </c>
      <c r="AR27" s="209">
        <f>IF(27=27,IF($U27="","",SUMPRODUCT(--ISNUMBER(SEARCH(" "&amp;$CR$836:$CR$935&amp;" ",$AX27)))),"")</f>
        <v>0</v>
      </c>
      <c r="AS27" s="209">
        <f>IF(27=27,IF($U27="","",SUMPRODUCT(--ISNUMBER(SEARCH(" "&amp;$CR$936:$CR$1035&amp;" ",$AX27)))),"")</f>
        <v>0</v>
      </c>
      <c r="AT27" s="209">
        <f>IF(27=27,IF($U27="","",SUMPRODUCT(--ISNUMBER(SEARCH(" "&amp;$CR$1036:$CR$1135&amp;" ",$AX27)))),"")</f>
        <v>0</v>
      </c>
      <c r="AU27" s="209">
        <f>IF(27=27,IF($U27="","",SUMPRODUCT(--ISNUMBER(SEARCH(" "&amp;$CR$1136:$CR$1235&amp;" ",$AX27)))),"")</f>
        <v>0</v>
      </c>
      <c r="AV27" s="209">
        <f>IF(27=27,IF($U27="","",SUMPRODUCT(--ISNUMBER(SEARCH(" "&amp;$CR$1236:$CR$1335&amp;" ",$AX27)))),"")</f>
        <v>0</v>
      </c>
      <c r="AW27" s="209">
        <f>IF(27=27,IF($U27="","",SUMPRODUCT(--ISNUMBER(SEARCH(" "&amp;$CR$1336:$CR$1363&amp;" ",$AX27)))),"")</f>
        <v>0</v>
      </c>
      <c r="AX27" s="209" t="str">
        <f>IF(27=27,IF($U27="","",SUBSTITUTE(SUBSTITUTE(SUBSTITUTE(SUBSTITUTE(SUBSTITUTE(SUBSTITUTE(SUBSTITUTE(SUBSTITUTE(SUBSTITUTE($AA27,"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biere a base d orge ble ou avoine </v>
      </c>
      <c r="AY27" s="209">
        <f>IF(27=27,IF($U27="","",SUMPRODUCT(--ISNUMBER(SEARCH(" "&amp;$CR$1373:$CR$1383&amp;" ",$AX27)))),"")</f>
        <v>0</v>
      </c>
      <c r="AZ27" s="209" t="str">
        <f>IF(27=27,IF($U27="","",IF(SUM(AN27:AW27)+SUMPRODUCT(--ISNUMBER(SEARCH(" "&amp;$CR$2421:$CR$2422&amp;" ",$AX27)))&gt;0,"X",IF(AY27&gt;0,"?",""))),"")</f>
        <v/>
      </c>
      <c r="BA27" s="209">
        <f>IF(27=27,IF($U27="","",SUMPRODUCT(--ISNUMBER(SEARCH(" "&amp;$CR$1384:$CR$1404&amp;" ",$AA27)))),"")</f>
        <v>0</v>
      </c>
      <c r="BB27" s="209" t="str">
        <f>IF(27=27,IF($U27="","",IF((BA27)-(0)&gt;0,"X",IF((0)-(0)&gt;0,"?",""))),"")</f>
        <v/>
      </c>
      <c r="BC27" s="209">
        <f>IF(27=27,IF($U27="","",SUMPRODUCT(--ISNUMBER(SEARCH(" "&amp;$CR$1405:$CR$1442&amp;" ",$BD27)))),"")</f>
        <v>0</v>
      </c>
      <c r="BD27" s="209" t="str">
        <f>IF(27=27,IF($U27="","",SUBSTITUTE(SUBSTITUTE($AA27," "&amp;$CR$1443&amp;" "," ")," "&amp;$CR$1444&amp;" "," ")),"")</f>
        <v xml:space="preserve"> biere a base d orge ble ou avoine </v>
      </c>
      <c r="BE27" s="209">
        <f>IF(27=27,IF($U27="","",SUMPRODUCT(--ISNUMBER(SEARCH(" "&amp;$CR$1445:$CR$1455&amp;" ",$BD27)))),"")</f>
        <v>0</v>
      </c>
      <c r="BF27" s="209" t="str">
        <f>IF(27=27,IF($U27="","",IF(BC27&gt;0,"X",IF(BE27&gt;0,"?",""))),"")</f>
        <v/>
      </c>
      <c r="BG27" s="209">
        <f>IF(27=27,IF($U27="","",SUMPRODUCT(--ISNUMBER(SEARCH(" "&amp;$CR$1456:$CR$1555&amp;" ",$BJ27)))),"")</f>
        <v>0</v>
      </c>
      <c r="BH27" s="209">
        <f>IF(27=27,IF($U27="","",SUMPRODUCT(--ISNUMBER(SEARCH(" "&amp;$CR$1556:$CR$1655&amp;" ",$BJ27)))),"")</f>
        <v>0</v>
      </c>
      <c r="BI27" s="209">
        <f>IF(27=27,IF($U27="","",SUMPRODUCT(--ISNUMBER(SEARCH(" "&amp;$CR$1656:$CR$1739&amp;" ",$BJ27)))),"")</f>
        <v>0</v>
      </c>
      <c r="BJ27" s="209" t="str">
        <f>IF(27=27,IF($U27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27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biere a base d orge ble ou avoine </v>
      </c>
      <c r="BK27" s="209">
        <f>IF(27=27,IF($U27="","",SUMPRODUCT(--ISNUMBER(SEARCH(" "&amp;$CR$1790:$CR$1869&amp;" ",$BL27)))+SUMPRODUCT(--ISNUMBER(SEARCH(" "&amp;$CR$2440:$CR$2453&amp;" ",$BL27)))),"")</f>
        <v>0</v>
      </c>
      <c r="BL27" s="209" t="str">
        <f>IF(27=27,IF($U27="","",SUBSTITUTE(SUBSTITUTE(SUBSTITUTE(SUBSTITUTE(SUBSTITUTE(SUBSTITUTE(SUBSTITUTE(SUBSTITUTE(SUBSTITUTE(SUBSTITUTE(SUBSTITUTE(SUBSTITUTE(SUBSTITUTE($BJ27,"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biere a base d orge ble ou avoine </v>
      </c>
      <c r="BM27" s="209" t="str">
        <f>IF(27=27,IF($U27="","",IF(SUM(BG27:BI27)+SUMPRODUCT(--ISNUMBER(SEARCH(" "&amp;$CR$2423:$CR$2424&amp;" ",$BJ27)))&gt;0,"X",IF(BK27&gt;0,"?",""))),"")</f>
        <v/>
      </c>
      <c r="BN27" s="209">
        <f>IF(27=27,IF($U27="","",SUMPRODUCT(--ISNUMBER(SEARCH(" "&amp;$CR$1879:$CR$1936&amp;" ",$BO27)))),"")</f>
        <v>0</v>
      </c>
      <c r="BO27" s="209" t="str">
        <f>IF(27=27,IF($U27="","",SUBSTITUTE(SUBSTITUTE(SUBSTITUTE(SUBSTITUTE(SUBSTITUTE(SUBSTITUTE(SUBSTITUTE(SUBSTITUTE(SUBSTITUTE(SUBSTITUTE(SUBSTITUTE(SUBSTITUTE(SUBSTITUTE(SUBSTITUTE(SUBSTITUTE(SUBSTITUTE(SUBSTITUTE(SUBSTITUTE(SUBSTITUTE(SUBSTITUTE(SUBSTITUTE(SUBSTITUTE(SUBSTITUTE($AA27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biere a base d orge ble ou avoine </v>
      </c>
      <c r="BP27" s="209">
        <f>IF(27=27,IF($U27="","",SUMPRODUCT(--ISNUMBER(SEARCH(" "&amp;$CR$1960:$CR$1976&amp;" ",$BO27)))),"")</f>
        <v>0</v>
      </c>
      <c r="BQ27" s="209" t="str">
        <f>IF(27=27,IF($U27="","",IF(BN27&gt;0,"X",IF(BP27&gt;0,"?",""))),"")</f>
        <v/>
      </c>
      <c r="BR27" s="209">
        <f>IF(27=27,IF($U27="","",SUMPRODUCT(--ISNUMBER(SEARCH(" "&amp;$CR$1977:$CR$1990&amp;" ",$AA27)))),"")</f>
        <v>0</v>
      </c>
      <c r="BS27" s="209">
        <f>IF(27=27,IF($U27="","",SUMPRODUCT(--ISNUMBER(SEARCH(" "&amp;$CR$1991:$CR$2005&amp;" ",$AA27)))),"")</f>
        <v>0</v>
      </c>
      <c r="BT27" s="209" t="str">
        <f>IF(27=27,IF($U27="","",IF((BR27)-(0)&gt;0,"X",IF((BS27)-(0)&gt;0,"?",""))),"")</f>
        <v/>
      </c>
      <c r="BU27" s="209">
        <f>IF(27=27,IF($U27="","",SUMPRODUCT(--ISNUMBER(SEARCH(" "&amp;$CR$2006:$CR$2023&amp;" ",$AA27)))),"")</f>
        <v>0</v>
      </c>
      <c r="BV27" s="209">
        <f>IF(27=27,IF($U27="","",SUMPRODUCT(--ISNUMBER(SEARCH(" "&amp;$CR$2024:$CR$2038&amp;" ",$AA27)))),"")</f>
        <v>0</v>
      </c>
      <c r="BW27" s="209" t="str">
        <f>IF(27=27,IF($U27="","",IF((BU27)-(0)&gt;0,"X",IF((BV27)-(0)&gt;0,"?",""))),"")</f>
        <v/>
      </c>
      <c r="BX27" s="209">
        <f>IF(27=27,IF($U27="","",SUMPRODUCT(--ISNUMBER(SEARCH(" "&amp;$CR$2039:$CR$2057&amp;" ",$AA27)))),"")</f>
        <v>0</v>
      </c>
      <c r="BY27" s="209">
        <f>IF(27=27,IF($U27="","",SUMPRODUCT(--ISNUMBER(SEARCH(" "&amp;$CR$2058:$CR$2072&amp;" ",$AA27)))),"")</f>
        <v>0</v>
      </c>
      <c r="BZ27" s="209" t="str">
        <f>IF(27=27,IF($U27="","",IF((BX27)-(0)&gt;0,"X",IF((BY27)-(0)&gt;0,"?",""))),"")</f>
        <v/>
      </c>
      <c r="CA27" s="209">
        <f>IF(27=27,IF($U27="","",SUMPRODUCT(--ISNUMBER(SEARCH(" "&amp;$CR$2073:$CR$2093&amp;" ",$AA27)))),"")</f>
        <v>0</v>
      </c>
      <c r="CB27" s="209">
        <f>IF(27=27,IF($U27="","",SUMPRODUCT(--ISNUMBER(SEARCH(" "&amp;$CR$2094:$CR$2133&amp;" ",SUBSTITUTE(SUBSTITUTE($AA27," "&amp;$CR$1367&amp;" "," ")," "&amp;$CR$1366&amp;" "," "))))+--ISNUMBER(SEARCH("poiré",$V27))),"")</f>
        <v>1</v>
      </c>
      <c r="CC27" s="209" t="str">
        <f>IF(27=27,IF($U27="","",IF(OR(CA27&gt;0,ISNUMBER(SEARCH(" vinaigre de vin ",$AA27)),ISNUMBER(SEARCH(" vinaigre au vin ",$AA27))),"X",IF(CB27&gt;0,"?",""))),"")</f>
        <v>?</v>
      </c>
      <c r="CD27" s="209">
        <f>IF(27=27,IF($U27="","",SUMPRODUCT(--ISNUMBER(SEARCH(" "&amp;$CR$2134:$CR$2146&amp;" ",$AA27)))),"")</f>
        <v>0</v>
      </c>
      <c r="CE27" s="209">
        <f>IF(27=27,IF($U27="","",SUMPRODUCT(--ISNUMBER(SEARCH(" "&amp;$CR$2147:$CR$2152&amp;" ",$AA27)))),"")</f>
        <v>0</v>
      </c>
      <c r="CF27" s="209" t="str">
        <f>IF(27=27,IF($U27="","",IF((CD27)-(0)&gt;0,"X",IF((CE27)-(0)&gt;0,"?",""))),"")</f>
        <v/>
      </c>
      <c r="CG27" s="209">
        <f>IF(27=27,IF($U27="","",SUMPRODUCT(--ISNUMBER(SEARCH(" "&amp;$CR$2153:$CR$2252&amp;" ",$CJ27)))),"")</f>
        <v>0</v>
      </c>
      <c r="CH27" s="209">
        <f>IF(27=27,IF($U27="","",SUMPRODUCT(--ISNUMBER(SEARCH(" "&amp;$CR$2253:$CR$2352&amp;" ",$CJ27)))),"")</f>
        <v>0</v>
      </c>
      <c r="CI27" s="209">
        <f>IF(27=27,IF($U27="","",SUMPRODUCT(--ISNUMBER(SEARCH(" "&amp;$CR$2353:$CR$2395&amp;" ",$CJ27)))),"")</f>
        <v>0</v>
      </c>
      <c r="CJ27" s="209" t="str">
        <f>IF(27=27,IF($U27="","",SUBSTITUTE(SUBSTITUTE(SUBSTITUTE(SUBSTITUTE(SUBSTITUTE(SUBSTITUTE(SUBSTITUTE(SUBSTITUTE(SUBSTITUTE(SUBSTITUTE(SUBSTITUTE(SUBSTITUTE(SUBSTITUTE(SUBSTITUTE(SUBSTITUTE(SUBSTITUTE($AA27,"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biere a base d orge ble ou avoine </v>
      </c>
      <c r="CK27" s="209">
        <f>IF(27=27,IF($U27="","",SUMPRODUCT(--ISNUMBER(SEARCH(" "&amp;$CR$2412:$CR$2416&amp;" ",$CJ27)))),"")</f>
        <v>0</v>
      </c>
      <c r="CL27" s="209" t="str">
        <f>IF(27=27,IF($U27="","",IF(SUM(CG27:CI27)&gt;0,"X",IF(CK27&gt;0,"?",""))),"")</f>
        <v/>
      </c>
      <c r="CM27" s="210"/>
      <c r="CN27" s="213" t="s">
        <v>1020</v>
      </c>
      <c r="CO27" s="213" t="s">
        <v>878</v>
      </c>
      <c r="CP27" s="213" t="s">
        <v>879</v>
      </c>
      <c r="CQ27" s="213" t="s">
        <v>1021</v>
      </c>
      <c r="CR27" s="213" t="s">
        <v>1022</v>
      </c>
      <c r="CS27" s="213" t="s">
        <v>881</v>
      </c>
      <c r="CT27" s="213" t="s">
        <v>882</v>
      </c>
      <c r="CU27" s="213" t="s">
        <v>883</v>
      </c>
      <c r="CV27" s="214" t="s">
        <v>884</v>
      </c>
      <c r="CX27" s="212">
        <v>1</v>
      </c>
    </row>
    <row r="28" spans="1:102" ht="21" customHeight="1">
      <c r="A28" s="229">
        <v>22</v>
      </c>
      <c r="B28" s="230" t="s">
        <v>6529</v>
      </c>
      <c r="C28" s="231" t="str">
        <f t="shared" si="0"/>
        <v>Bière — référence non précisée *</v>
      </c>
      <c r="D28" s="232" t="str">
        <f>IF(28=28,IF($B28="","",IF(E28="X",""&amp;"Céréales contenant du gluten","")&amp;IF(F28="X",IF(COUNTIF($E28:$E28,"X")&gt;0,", ","")&amp;"Crustacés","")&amp;IF(G28="X",IF(COUNTIF($E28:$F28,"X")&gt;0,", ","")&amp;"Œufs","")&amp;IF(H28="X",IF(COUNTIF($E28:$G28,"X")&gt;0,", ","")&amp;"Poissons","")&amp;IF(I28="X",IF(COUNTIF($E28:$H28,"X")&gt;0,", ","")&amp;"Arachides","")&amp;IF(J28="X",IF(COUNTIF($E28:$I28,"X")&gt;0,", ","")&amp;"Soja","")&amp;IF(K28="X",IF(COUNTIF($E28:$J28,"X")&gt;0,", ","")&amp;"Lait","")&amp;IF(L28="X",IF(COUNTIF($E28:$K28,"X")&gt;0,", ","")&amp;"Fruits à coque","")&amp;IF(M28="X",IF(COUNTIF($E28:$L28,"X")&gt;0,", ","")&amp;"Céleri","")&amp;IF(N28="X",IF(COUNTIF($E28:$M28,"X")&gt;0,", ","")&amp;"Moutarde","")&amp;IF(O28="X",IF(COUNTIF($E28:$N28,"X")&gt;0,", ","")&amp;"Sésame","")&amp;IF(P28="X",IF(COUNTIF($E28:$O28,"X")&gt;0,", ","")&amp;"Sulfites","")&amp;IF(Q28="X",IF(COUNTIF($E28:$P28,"X")&gt;0,", ","")&amp;"Lupin","")&amp;IF(R28="X",IF(COUNTIF($E28:$Q28,"X")&gt;0,", ","")&amp;"Mollusques","")),"")</f>
        <v>Céréales contenant du gluten</v>
      </c>
      <c r="E28" s="233" t="str">
        <f>IF(28=28,IF($B28="","",IF(OR(ISNUMBER(SEARCH(" biere sans gluten ",$AA28)),ISNUMBER(SEARCH(" gluten free beer ",$AA28)),ISNUMBER(SEARCH(" beer gluten free ",$AA28))),"",IF(AF28="X","X",IF(OR(AF28="?",OR(ISNUMBER(SEARCH(" worcestershire ",$AA28)),ISNUMBER(SEARCH(" bloody mary ",$AA28)))),"?","")))),"")</f>
        <v>X</v>
      </c>
      <c r="F28" s="233" t="str">
        <f>IF(28=28,IF($B28="","",AI28),"")</f>
        <v/>
      </c>
      <c r="G28" s="233" t="str">
        <f>IF(28=28,IF($B28="","",IF(OR(TRIM($AA28)="puree pate d amande",TRIM($AA28)="pate puree d amande",TRIM($AA28)="puree d amande",TRIM($AA28)="pate d amande",TRIM($AA28)="pate puree de noisette",TRIM($AA28)="puree pate de noisette",TRIM($AA28)="puree de noisette",TRIM($AA28)="pate de noisette"),"",IF(OR(AM28="X",OR(ISNUMBER(SEARCH(" macaron ",$AA28)),ISNUMBER(SEARCH(" egg nog ",$AA28)),ISNUMBER(SEARCH(" eggnog ",$AA28)))),"X",IF(OR(AM28="?",OR(ISNUMBER(SEARCH(" biscuit decoratif ",$AA28)),ISNUMBER(SEARCH(" whisky sour ",$AA28)),ISNUMBER(SEARCH(" whiskey sour ",$AA28)),ISNUMBER(SEARCH(" amaretto sour ",$AA28)),ISNUMBER(SEARCH(" pisco sour ",$AA28)),ISNUMBER(SEARCH(" clover club ",$AA28)),ISNUMBER(SEARCH(" ramos gin fizz ",$AA28)))),"?","")))),"")</f>
        <v/>
      </c>
      <c r="H28" s="233" t="str">
        <f>IF(28=28,IF($B28="","",IF(ISNUMBER(SEARCH(" colin ",$AA28)),"X",IF(AZ28="X","X",IF(OR(AZ28="?",OR(ISNUMBER(SEARCH(" worcestershire ",$AA28)),ISNUMBER(SEARCH(" bloody mary ",$AA28)))),"?","")))),"")</f>
        <v/>
      </c>
      <c r="I28" s="233" t="str">
        <f>IF(28=28,IF($B28="","",BB28),"")</f>
        <v/>
      </c>
      <c r="J28" s="233" t="str">
        <f>IF(28=28,IF($B28="","",BF28),"")</f>
        <v/>
      </c>
      <c r="K28" s="233" t="str">
        <f>IF(28=28,IF($B28="","",IF(OR(OR(TRIM($AA28)="puree pate d amande",TRIM($AA28)="pate puree d amande",TRIM($AA28)="puree d amande",TRIM($AA28)="pate d amande",TRIM($AA28)="pate puree de noisette",TRIM($AA28)="puree pate de noisette",TRIM($AA28)="puree de noisette",TRIM($AA28)="pate de noisette"),OR(TRIM($AA28)="beurre puree d arachide",TRIM($AA28)="beurre d arachide",TRIM($AA28)="puree d arachide"),OR(TRIM($AA28)="tahini puree de sesame",TRIM($AA28)="tahini",TRIM($AA28)="puree de sesame")),"",IF(OR(TRIM($AA28)="creme de cassis",TRIM($AA28)="creme de menthe",TRIM($AA28)="creme de cacao",TRIM($AA28)="creme de mure",TRIM($AA28)="creme de framboise",TRIM($AA28)="creme de peche",TRIM($AA28)="creme de banane",TRIM($AA28)="liqueur creme de coco",TRIM($AA28)="creme de coco",TRIM($AA28)="spiritueux aromatise arrange creme de spiritueux"),"?",IF(OR(BM28="X",OR(ISNUMBER(SEARCH(" baileys ",$AA28)),ISNUMBER(SEARCH(" irish cream ",$AA28)),ISNUMBER(SEARCH(" creme de whisky ",$AA28)))),"X",IF(OR(BM28="?",OR(OR(TRIM($AA28)="creme de cassis",TRIM($AA28)="creme de menthe",TRIM($AA28)="creme de cacao",TRIM($AA28)="creme de mure",TRIM($AA28)="creme de framboise",TRIM($AA28)="creme de peche",TRIM($AA28)="creme de banane",TRIM($AA28)="liqueur creme de coco",TRIM($AA28)="creme de coco",TRIM($AA28)="spiritueux aromatise arrange creme de spiritueux"),ISNUMBER(SEARCH(" advocaat ",$AA28)),ISNUMBER(SEARCH(" liqueur aux oeufs ",$AA28)),ISNUMBER(SEARCH(" liqueur de chocolat ",$AA28)),ISNUMBER(SEARCH(" liqueur de caramel ",$AA28)),ISNUMBER(SEARCH(" sauce nappage chocolat ",$AA28)),ISNUMBER(SEARCH(" biscuit decoratif ",$AA28)),ISNUMBER(SEARCH(" white russian ",$AA28)),ISNUMBER(SEARCH(" grasshopper ",$AA28)),ISNUMBER(SEARCH(" irish coffee ",$AA28)),ISNUMBER(SEARCH(" ramos gin fizz ",$AA28)),ISNUMBER(SEARCH(" egg nog ",$AA28)),ISNUMBER(SEARCH(" eggnog ",$AA28)))),"?",""))))),"")</f>
        <v/>
      </c>
      <c r="L28" s="233" t="str">
        <f>IF(28=28,IF($B28="","",IF(OR(BQ28="X",OR(OR(TRIM($AA28)="puree pate d amande",TRIM($AA28)="pate puree d amande",TRIM($AA28)="puree d amande",TRIM($AA28)="pate d amande",TRIM($AA28)="pate puree de noisette",TRIM($AA28)="puree pate de noisette",TRIM($AA28)="puree de noisette",TRIM($AA28)="pate de noisette"),ISNUMBER(SEARCH(" macaron ",$AA28)),TRIM($AA28)="fruits a coque")),"X",IF(OR(BQ28="?",OR(ISNUMBER(SEARCH(" sirop d orgeat ",$AA28)),ISNUMBER(SEARCH(" orgeat ",$AA28)),ISNUMBER(SEARCH(" amaretto ",$AA28)))),"?",""))),"")</f>
        <v/>
      </c>
      <c r="M28" s="233" t="str">
        <f>IF(28=28,IF($B28="","",IF(OR(OR(TRIM($AA28)="puree pate d amande",TRIM($AA28)="pate puree d amande",TRIM($AA28)="puree d amande",TRIM($AA28)="pate d amande",TRIM($AA28)="pate puree de noisette",TRIM($AA28)="puree pate de noisette",TRIM($AA28)="puree de noisette",TRIM($AA28)="pate de noisette"),OR(TRIM($AA28)="tahini puree de sesame",TRIM($AA28)="tahini",TRIM($AA28)="puree de sesame")),"",IF(BT28="X","X",IF(OR(BT28="?",ISNUMBER(SEARCH(" bloody mary ",$AA28))),"?","")))),"")</f>
        <v/>
      </c>
      <c r="N28" s="233" t="str">
        <f>IF(28=28,IF($B28="","",IF(OR(OR(TRIM($AA28)="puree pate d amande",TRIM($AA28)="pate puree d amande",TRIM($AA28)="puree d amande",TRIM($AA28)="pate d amande",TRIM($AA28)="pate puree de noisette",TRIM($AA28)="puree pate de noisette",TRIM($AA28)="puree de noisette",TRIM($AA28)="pate de noisette"),OR(TRIM($AA28)="tahini puree de sesame",TRIM($AA28)="tahini",TRIM($AA28)="puree de sesame")),"",IF(BW28="X","X",IF(OR(BW28="?",ISNUMBER(SEARCH(" bloody mary ",$AA28))),"?","")))),"")</f>
        <v/>
      </c>
      <c r="O28" s="233" t="str">
        <f>IF(28=28,IF($B28="","",BZ28),"")</f>
        <v/>
      </c>
      <c r="P28" s="233" t="str">
        <f>IF(28=28,IF($B28="","",CC28),"")</f>
        <v>?</v>
      </c>
      <c r="Q28" s="233" t="str">
        <f>IF(28=28,IF($B28="","",CF28),"")</f>
        <v/>
      </c>
      <c r="R28" s="233" t="str">
        <f>IF(28=28,IF($B28="","",IF(TRIM($AA28)="fruits a coque","",IF(CL28="X","X",IF(OR(CL28="?",OR(ISNUMBER(SEARCH(" clamato ",$AA28)),ISNUMBER(SEARCH(" bloody caesar ",$AA28)))),"?","")))),"")</f>
        <v/>
      </c>
      <c r="S28" s="234" t="str">
        <f>IF(28=28,IF($B28="","",IF(E28="?",""&amp;"Céréales contenant du gluten","")&amp;IF(F28="?",IF(COUNTIF($E28:$E28,"~?")&gt;0,", ","")&amp;"Crustacés","")&amp;IF(G28="?",IF(COUNTIF($E28:$F28,"~?")&gt;0,", ","")&amp;"Œufs","")&amp;IF(H28="?",IF(COUNTIF($E28:$G28,"~?")&gt;0,", ","")&amp;"Poissons","")&amp;IF(I28="?",IF(COUNTIF($E28:$H28,"~?")&gt;0,", ","")&amp;"Arachides","")&amp;IF(J28="?",IF(COUNTIF($E28:$I28,"~?")&gt;0,", ","")&amp;"Soja","")&amp;IF(K28="?",IF(COUNTIF($E28:$J28,"~?")&gt;0,", ","")&amp;"Lait","")&amp;IF(L28="?",IF(COUNTIF($E28:$K28,"~?")&gt;0,", ","")&amp;"Fruits à coque","")&amp;IF(M28="?",IF(COUNTIF($E28:$L28,"~?")&gt;0,", ","")&amp;"Céleri","")&amp;IF(N28="?",IF(COUNTIF($E28:$M28,"~?")&gt;0,", ","")&amp;"Moutarde","")&amp;IF(O28="?",IF(COUNTIF($E28:$N28,"~?")&gt;0,", ","")&amp;"Sésame","")&amp;IF(P28="?",IF(COUNTIF($E28:$O28,"~?")&gt;0,", ","")&amp;"Sulfites","")&amp;IF(Q28="?",IF(COUNTIF($E28:$P28,"~?")&gt;0,", ","")&amp;"Lupin","")&amp;IF(R28="?",IF(COUNTIF($E28:$Q28,"~?")&gt;0,", ","")&amp;"Mollusques","")),"")</f>
        <v>Sulfites</v>
      </c>
      <c r="U28" s="209" t="str">
        <f>IF(28=28,IF($B28="","",$B28),"")</f>
        <v>Bière — référence non précisée</v>
      </c>
      <c r="V28" s="209" t="str">
        <f>IF(28=28,LOWER(CLEAN(SUBSTITUTE(SUBSTITUTE(SUBSTITUTE(SUBSTITUTE($U28,CHAR(160)," ")," "," "),CHAR(10)," "),CHAR(13)," "))),"")</f>
        <v>bière — référence non précisée</v>
      </c>
      <c r="W28" s="209" t="str">
        <f>IF(28=28,SUBSTITUTE(SUBSTITUTE(SUBSTITUTE(SUBSTITUTE(SUBSTITUTE(SUBSTITUTE(SUBSTITUTE(SUBSTITUTE(SUBSTITUTE(SUBSTITUTE(SUBSTITUTE(SUBSTITUTE($V28,"œ","oe"),"æ","ae"),"à","a"),"á","a"),"â","a"),"ä","a"),"ã","a"),"ç","c"),"è","e"),"é","e"),"ê","e"),"ë","e"),"")</f>
        <v>biere — reference non precisee</v>
      </c>
      <c r="X28" s="209" t="str">
        <f>IF(28=28,SUBSTITUTE(SUBSTITUTE(SUBSTITUTE(SUBSTITUTE(SUBSTITUTE(SUBSTITUTE(SUBSTITUTE(SUBSTITUTE(SUBSTITUTE(SUBSTITUTE(SUBSTITUTE(SUBSTITUTE(SUBSTITUTE(SUBSTITUTE(SUBSTITUTE(SUBSTITUTE($W28,"ì","i"),"í","i"),"î","i"),"ï","i"),"ñ","n"),"ò","o"),"ó","o"),"ô","o"),"ö","o"),"õ","o"),"ù","u"),"ú","u"),"û","u"),"ü","u"),"ý","y"),"ÿ","y"),"")</f>
        <v>biere — reference non precisee</v>
      </c>
      <c r="Y28" s="209" t="str">
        <f>IF(28=28,SUBSTITUTE(SUBSTITUTE(SUBSTITUTE(SUBSTITUTE(SUBSTITUTE(SUBSTITUTE(SUBSTITUTE(SUBSTITUTE(SUBSTITUTE(SUBSTITUTE(SUBSTITUTE(SUBSTITUTE(SUBSTITUTE(SUBSTITUTE($X28,"’"," "),"`"," "),"–"," "),"—"," "),"-"," "),"'"," "),"/"," "),"_"," "),","," "),"."," "),"("," "),")"," "),";"," "),":"," "),"")</f>
        <v>biere   reference non precisee</v>
      </c>
      <c r="Z28" s="209" t="str">
        <f>IF(28=28,SUBSTITUTE(SUBSTITUTE(SUBSTITUTE(SUBSTITUTE(SUBSTITUTE(SUBSTITUTE(SUBSTITUTE(SUBSTITUTE(SUBSTITUTE(SUBSTITUTE(SUBSTITUTE(SUBSTITUTE(SUBSTITUTE(SUBSTITUTE(SUBSTITUTE($Y28,"!"," "),"?"," "),"+"," "),"*"," "),"&amp;"," "),"["," "),"]"," "),"{"," "),"}"," "),"%"," "),"="," "),"\"," "),"|"," "),"&lt;"," "),"&gt;"," "),"")</f>
        <v>biere   reference non precisee</v>
      </c>
      <c r="AA28" s="209" t="str">
        <f>IF(28=28," "&amp;TRIM(SUBSTITUTE(SUBSTITUTE(SUBSTITUTE(SUBSTITUTE(SUBSTITUTE(SUBSTITUTE($Z28,CHAR(34)," "),"  "," "),"  "," "),"  "," "),"  "," "),"  "," "))&amp;" ","")</f>
        <v xml:space="preserve"> biere reference non precisee </v>
      </c>
      <c r="AB28" s="209">
        <f>IF(28=28,IF($U28="","",SUMPRODUCT(--ISNUMBER(SEARCH(" "&amp;$CR$2:$CR$101&amp;" ",$AD28)))),"")</f>
        <v>1</v>
      </c>
      <c r="AC28" s="209">
        <f>IF(28=28,IF($U28="","",SUMPRODUCT(--ISNUMBER(SEARCH(" "&amp;$CR$102:$CR$151&amp;" ",$AD28)))),"")</f>
        <v>0</v>
      </c>
      <c r="AD28" s="209" t="str">
        <f t="shared" si="1"/>
        <v xml:space="preserve"> biere reference non precisee </v>
      </c>
      <c r="AE28" s="209">
        <f t="shared" si="2"/>
        <v>0</v>
      </c>
      <c r="AF28" s="209" t="str">
        <f>IF(28=28,IF($U28="","",IF(SUM(AB28:AC28)+SUMPRODUCT(--ISNUMBER(SEARCH(" "&amp;$CR$2418:$CR$2420&amp;" ",$AD28)))&gt;0,"X",IF(AE28&gt;0,"?",""))),"")</f>
        <v>X</v>
      </c>
      <c r="AG28" s="209">
        <f>IF(28=28,IF($U28="","",SUMPRODUCT(--ISNUMBER(SEARCH(" "&amp;$CR$206:$CR$305&amp;" ",$AA28)))),"")</f>
        <v>0</v>
      </c>
      <c r="AH28" s="209">
        <f>IF(28=28,IF($U28="","",SUMPRODUCT(--ISNUMBER(SEARCH(" "&amp;$CR$306:$CR$340&amp;" ",$AA28)))),"")</f>
        <v>0</v>
      </c>
      <c r="AI28" s="209" t="str">
        <f>IF(28=28,IF($U28="","",IF((SUM(AG28:AH28))-(0)&gt;0,"X",IF((0)-(0)&gt;0,"?",""))),"")</f>
        <v/>
      </c>
      <c r="AJ28" s="209">
        <f>IF(28=28,IF($U28="","",SUMPRODUCT(--ISNUMBER(SEARCH(" "&amp;$CR$341:$CR$398&amp;" ",$AA28)))),"")</f>
        <v>0</v>
      </c>
      <c r="AK28" s="209">
        <f>IF(28=28,IF($U28="","",SUMPRODUCT(--ISNUMBER(SEARCH(" "&amp;$CR$399:$CR$426&amp;" ",$AL28)))+SUMPRODUCT(--ISNUMBER(SEARCH(" "&amp;$CR$2440:$CR$2453&amp;" ",$AL28)))),"")</f>
        <v>0</v>
      </c>
      <c r="AL28" s="209" t="str">
        <f>IF(28=28,IF($U28="","",SUBSTITUTE(SUBSTITUTE(SUBSTITUTE(SUBSTITUTE(SUBSTITUTE(SUBSTITUTE(SUBSTITUTE(SUBSTITUTE(SUBSTITUTE(SUBSTITUTE(SUBSTITUTE(SUBSTITUTE(SUBSTITUTE(SUBSTITUTE($AA28,"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biere reference non precisee </v>
      </c>
      <c r="AM28" s="209" t="str">
        <f>IF(28=28,IF($U28="","",IF(AJ28&gt;0,"X",IF(AK28&gt;0,"?",""))),"")</f>
        <v/>
      </c>
      <c r="AN28" s="209">
        <f>IF(28=28,IF($U28="","",SUMPRODUCT(--ISNUMBER(SEARCH(" "&amp;$CR$436:$CR$535&amp;" ",$AX28)))),"")</f>
        <v>0</v>
      </c>
      <c r="AO28" s="209">
        <f>IF(28=28,IF($U28="","",SUMPRODUCT(--ISNUMBER(SEARCH(" "&amp;$CR$536:$CR$635&amp;" ",$AX28)))),"")</f>
        <v>0</v>
      </c>
      <c r="AP28" s="209">
        <f>IF(28=28,IF($U28="","",SUMPRODUCT(--ISNUMBER(SEARCH(" "&amp;$CR$636:$CR$735&amp;" ",$AX28)))),"")</f>
        <v>0</v>
      </c>
      <c r="AQ28" s="209">
        <f>IF(28=28,IF($U28="","",SUMPRODUCT(--ISNUMBER(SEARCH(" "&amp;$CR$736:$CR$835&amp;" ",$AX28)))),"")</f>
        <v>0</v>
      </c>
      <c r="AR28" s="209">
        <f>IF(28=28,IF($U28="","",SUMPRODUCT(--ISNUMBER(SEARCH(" "&amp;$CR$836:$CR$935&amp;" ",$AX28)))),"")</f>
        <v>0</v>
      </c>
      <c r="AS28" s="209">
        <f>IF(28=28,IF($U28="","",SUMPRODUCT(--ISNUMBER(SEARCH(" "&amp;$CR$936:$CR$1035&amp;" ",$AX28)))),"")</f>
        <v>0</v>
      </c>
      <c r="AT28" s="209">
        <f>IF(28=28,IF($U28="","",SUMPRODUCT(--ISNUMBER(SEARCH(" "&amp;$CR$1036:$CR$1135&amp;" ",$AX28)))),"")</f>
        <v>0</v>
      </c>
      <c r="AU28" s="209">
        <f>IF(28=28,IF($U28="","",SUMPRODUCT(--ISNUMBER(SEARCH(" "&amp;$CR$1136:$CR$1235&amp;" ",$AX28)))),"")</f>
        <v>0</v>
      </c>
      <c r="AV28" s="209">
        <f>IF(28=28,IF($U28="","",SUMPRODUCT(--ISNUMBER(SEARCH(" "&amp;$CR$1236:$CR$1335&amp;" ",$AX28)))),"")</f>
        <v>0</v>
      </c>
      <c r="AW28" s="209">
        <f>IF(28=28,IF($U28="","",SUMPRODUCT(--ISNUMBER(SEARCH(" "&amp;$CR$1336:$CR$1363&amp;" ",$AX28)))),"")</f>
        <v>0</v>
      </c>
      <c r="AX28" s="209" t="str">
        <f>IF(28=28,IF($U28="","",SUBSTITUTE(SUBSTITUTE(SUBSTITUTE(SUBSTITUTE(SUBSTITUTE(SUBSTITUTE(SUBSTITUTE(SUBSTITUTE(SUBSTITUTE($AA28,"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biere reference non precisee </v>
      </c>
      <c r="AY28" s="209">
        <f>IF(28=28,IF($U28="","",SUMPRODUCT(--ISNUMBER(SEARCH(" "&amp;$CR$1373:$CR$1383&amp;" ",$AX28)))),"")</f>
        <v>0</v>
      </c>
      <c r="AZ28" s="209" t="str">
        <f>IF(28=28,IF($U28="","",IF(SUM(AN28:AW28)+SUMPRODUCT(--ISNUMBER(SEARCH(" "&amp;$CR$2421:$CR$2422&amp;" ",$AX28)))&gt;0,"X",IF(AY28&gt;0,"?",""))),"")</f>
        <v/>
      </c>
      <c r="BA28" s="209">
        <f>IF(28=28,IF($U28="","",SUMPRODUCT(--ISNUMBER(SEARCH(" "&amp;$CR$1384:$CR$1404&amp;" ",$AA28)))),"")</f>
        <v>0</v>
      </c>
      <c r="BB28" s="209" t="str">
        <f>IF(28=28,IF($U28="","",IF((BA28)-(0)&gt;0,"X",IF((0)-(0)&gt;0,"?",""))),"")</f>
        <v/>
      </c>
      <c r="BC28" s="209">
        <f>IF(28=28,IF($U28="","",SUMPRODUCT(--ISNUMBER(SEARCH(" "&amp;$CR$1405:$CR$1442&amp;" ",$BD28)))),"")</f>
        <v>0</v>
      </c>
      <c r="BD28" s="209" t="str">
        <f>IF(28=28,IF($U28="","",SUBSTITUTE(SUBSTITUTE($AA28," "&amp;$CR$1443&amp;" "," ")," "&amp;$CR$1444&amp;" "," ")),"")</f>
        <v xml:space="preserve"> biere reference non precisee </v>
      </c>
      <c r="BE28" s="209">
        <f>IF(28=28,IF($U28="","",SUMPRODUCT(--ISNUMBER(SEARCH(" "&amp;$CR$1445:$CR$1455&amp;" ",$BD28)))),"")</f>
        <v>0</v>
      </c>
      <c r="BF28" s="209" t="str">
        <f>IF(28=28,IF($U28="","",IF(BC28&gt;0,"X",IF(BE28&gt;0,"?",""))),"")</f>
        <v/>
      </c>
      <c r="BG28" s="209">
        <f>IF(28=28,IF($U28="","",SUMPRODUCT(--ISNUMBER(SEARCH(" "&amp;$CR$1456:$CR$1555&amp;" ",$BJ28)))),"")</f>
        <v>0</v>
      </c>
      <c r="BH28" s="209">
        <f>IF(28=28,IF($U28="","",SUMPRODUCT(--ISNUMBER(SEARCH(" "&amp;$CR$1556:$CR$1655&amp;" ",$BJ28)))),"")</f>
        <v>0</v>
      </c>
      <c r="BI28" s="209">
        <f>IF(28=28,IF($U28="","",SUMPRODUCT(--ISNUMBER(SEARCH(" "&amp;$CR$1656:$CR$1739&amp;" ",$BJ28)))),"")</f>
        <v>0</v>
      </c>
      <c r="BJ28" s="209" t="str">
        <f>IF(28=28,IF($U28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28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biere reference non precisee </v>
      </c>
      <c r="BK28" s="209">
        <f>IF(28=28,IF($U28="","",SUMPRODUCT(--ISNUMBER(SEARCH(" "&amp;$CR$1790:$CR$1869&amp;" ",$BL28)))+SUMPRODUCT(--ISNUMBER(SEARCH(" "&amp;$CR$2440:$CR$2453&amp;" ",$BL28)))),"")</f>
        <v>0</v>
      </c>
      <c r="BL28" s="209" t="str">
        <f>IF(28=28,IF($U28="","",SUBSTITUTE(SUBSTITUTE(SUBSTITUTE(SUBSTITUTE(SUBSTITUTE(SUBSTITUTE(SUBSTITUTE(SUBSTITUTE(SUBSTITUTE(SUBSTITUTE(SUBSTITUTE(SUBSTITUTE(SUBSTITUTE($BJ28,"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biere reference non precisee </v>
      </c>
      <c r="BM28" s="209" t="str">
        <f>IF(28=28,IF($U28="","",IF(SUM(BG28:BI28)+SUMPRODUCT(--ISNUMBER(SEARCH(" "&amp;$CR$2423:$CR$2424&amp;" ",$BJ28)))&gt;0,"X",IF(BK28&gt;0,"?",""))),"")</f>
        <v/>
      </c>
      <c r="BN28" s="209">
        <f>IF(28=28,IF($U28="","",SUMPRODUCT(--ISNUMBER(SEARCH(" "&amp;$CR$1879:$CR$1936&amp;" ",$BO28)))),"")</f>
        <v>0</v>
      </c>
      <c r="BO28" s="209" t="str">
        <f>IF(28=28,IF($U28="","",SUBSTITUTE(SUBSTITUTE(SUBSTITUTE(SUBSTITUTE(SUBSTITUTE(SUBSTITUTE(SUBSTITUTE(SUBSTITUTE(SUBSTITUTE(SUBSTITUTE(SUBSTITUTE(SUBSTITUTE(SUBSTITUTE(SUBSTITUTE(SUBSTITUTE(SUBSTITUTE(SUBSTITUTE(SUBSTITUTE(SUBSTITUTE(SUBSTITUTE(SUBSTITUTE(SUBSTITUTE(SUBSTITUTE($AA28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biere reference non precisee </v>
      </c>
      <c r="BP28" s="209">
        <f>IF(28=28,IF($U28="","",SUMPRODUCT(--ISNUMBER(SEARCH(" "&amp;$CR$1960:$CR$1976&amp;" ",$BO28)))),"")</f>
        <v>0</v>
      </c>
      <c r="BQ28" s="209" t="str">
        <f>IF(28=28,IF($U28="","",IF(BN28&gt;0,"X",IF(BP28&gt;0,"?",""))),"")</f>
        <v/>
      </c>
      <c r="BR28" s="209">
        <f>IF(28=28,IF($U28="","",SUMPRODUCT(--ISNUMBER(SEARCH(" "&amp;$CR$1977:$CR$1990&amp;" ",$AA28)))),"")</f>
        <v>0</v>
      </c>
      <c r="BS28" s="209">
        <f>IF(28=28,IF($U28="","",SUMPRODUCT(--ISNUMBER(SEARCH(" "&amp;$CR$1991:$CR$2005&amp;" ",$AA28)))),"")</f>
        <v>0</v>
      </c>
      <c r="BT28" s="209" t="str">
        <f>IF(28=28,IF($U28="","",IF((BR28)-(0)&gt;0,"X",IF((BS28)-(0)&gt;0,"?",""))),"")</f>
        <v/>
      </c>
      <c r="BU28" s="209">
        <f>IF(28=28,IF($U28="","",SUMPRODUCT(--ISNUMBER(SEARCH(" "&amp;$CR$2006:$CR$2023&amp;" ",$AA28)))),"")</f>
        <v>0</v>
      </c>
      <c r="BV28" s="209">
        <f>IF(28=28,IF($U28="","",SUMPRODUCT(--ISNUMBER(SEARCH(" "&amp;$CR$2024:$CR$2038&amp;" ",$AA28)))),"")</f>
        <v>0</v>
      </c>
      <c r="BW28" s="209" t="str">
        <f>IF(28=28,IF($U28="","",IF((BU28)-(0)&gt;0,"X",IF((BV28)-(0)&gt;0,"?",""))),"")</f>
        <v/>
      </c>
      <c r="BX28" s="209">
        <f>IF(28=28,IF($U28="","",SUMPRODUCT(--ISNUMBER(SEARCH(" "&amp;$CR$2039:$CR$2057&amp;" ",$AA28)))),"")</f>
        <v>0</v>
      </c>
      <c r="BY28" s="209">
        <f>IF(28=28,IF($U28="","",SUMPRODUCT(--ISNUMBER(SEARCH(" "&amp;$CR$2058:$CR$2072&amp;" ",$AA28)))),"")</f>
        <v>0</v>
      </c>
      <c r="BZ28" s="209" t="str">
        <f>IF(28=28,IF($U28="","",IF((BX28)-(0)&gt;0,"X",IF((BY28)-(0)&gt;0,"?",""))),"")</f>
        <v/>
      </c>
      <c r="CA28" s="209">
        <f>IF(28=28,IF($U28="","",SUMPRODUCT(--ISNUMBER(SEARCH(" "&amp;$CR$2073:$CR$2093&amp;" ",$AA28)))),"")</f>
        <v>0</v>
      </c>
      <c r="CB28" s="209">
        <f>IF(28=28,IF($U28="","",SUMPRODUCT(--ISNUMBER(SEARCH(" "&amp;$CR$2094:$CR$2133&amp;" ",SUBSTITUTE(SUBSTITUTE($AA28," "&amp;$CR$1367&amp;" "," ")," "&amp;$CR$1366&amp;" "," "))))+--ISNUMBER(SEARCH("poiré",$V28))),"")</f>
        <v>1</v>
      </c>
      <c r="CC28" s="209" t="str">
        <f>IF(28=28,IF($U28="","",IF(OR(CA28&gt;0,ISNUMBER(SEARCH(" vinaigre de vin ",$AA28)),ISNUMBER(SEARCH(" vinaigre au vin ",$AA28))),"X",IF(CB28&gt;0,"?",""))),"")</f>
        <v>?</v>
      </c>
      <c r="CD28" s="209">
        <f>IF(28=28,IF($U28="","",SUMPRODUCT(--ISNUMBER(SEARCH(" "&amp;$CR$2134:$CR$2146&amp;" ",$AA28)))),"")</f>
        <v>0</v>
      </c>
      <c r="CE28" s="209">
        <f>IF(28=28,IF($U28="","",SUMPRODUCT(--ISNUMBER(SEARCH(" "&amp;$CR$2147:$CR$2152&amp;" ",$AA28)))),"")</f>
        <v>0</v>
      </c>
      <c r="CF28" s="209" t="str">
        <f>IF(28=28,IF($U28="","",IF((CD28)-(0)&gt;0,"X",IF((CE28)-(0)&gt;0,"?",""))),"")</f>
        <v/>
      </c>
      <c r="CG28" s="209">
        <f>IF(28=28,IF($U28="","",SUMPRODUCT(--ISNUMBER(SEARCH(" "&amp;$CR$2153:$CR$2252&amp;" ",$CJ28)))),"")</f>
        <v>0</v>
      </c>
      <c r="CH28" s="209">
        <f>IF(28=28,IF($U28="","",SUMPRODUCT(--ISNUMBER(SEARCH(" "&amp;$CR$2253:$CR$2352&amp;" ",$CJ28)))),"")</f>
        <v>0</v>
      </c>
      <c r="CI28" s="209">
        <f>IF(28=28,IF($U28="","",SUMPRODUCT(--ISNUMBER(SEARCH(" "&amp;$CR$2353:$CR$2395&amp;" ",$CJ28)))),"")</f>
        <v>0</v>
      </c>
      <c r="CJ28" s="209" t="str">
        <f>IF(28=28,IF($U28="","",SUBSTITUTE(SUBSTITUTE(SUBSTITUTE(SUBSTITUTE(SUBSTITUTE(SUBSTITUTE(SUBSTITUTE(SUBSTITUTE(SUBSTITUTE(SUBSTITUTE(SUBSTITUTE(SUBSTITUTE(SUBSTITUTE(SUBSTITUTE(SUBSTITUTE(SUBSTITUTE($AA28,"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biere reference non precisee </v>
      </c>
      <c r="CK28" s="209">
        <f>IF(28=28,IF($U28="","",SUMPRODUCT(--ISNUMBER(SEARCH(" "&amp;$CR$2412:$CR$2416&amp;" ",$CJ28)))),"")</f>
        <v>0</v>
      </c>
      <c r="CL28" s="209" t="str">
        <f>IF(28=28,IF($U28="","",IF(SUM(CG28:CI28)&gt;0,"X",IF(CK28&gt;0,"?",""))),"")</f>
        <v/>
      </c>
      <c r="CM28" s="210"/>
      <c r="CN28" s="213" t="s">
        <v>1023</v>
      </c>
      <c r="CO28" s="213" t="s">
        <v>878</v>
      </c>
      <c r="CP28" s="213" t="s">
        <v>879</v>
      </c>
      <c r="CQ28" s="213" t="s">
        <v>1024</v>
      </c>
      <c r="CR28" s="213" t="s">
        <v>1024</v>
      </c>
      <c r="CS28" s="213" t="s">
        <v>881</v>
      </c>
      <c r="CT28" s="213" t="s">
        <v>882</v>
      </c>
      <c r="CU28" s="213" t="s">
        <v>883</v>
      </c>
      <c r="CV28" s="214" t="s">
        <v>884</v>
      </c>
      <c r="CX28" s="212">
        <v>1</v>
      </c>
    </row>
    <row r="29" spans="1:102" ht="21" customHeight="1">
      <c r="A29" s="229">
        <v>23</v>
      </c>
      <c r="B29" s="230" t="s">
        <v>6535</v>
      </c>
      <c r="C29" s="231" t="str">
        <f t="shared" si="0"/>
        <v>Lait / boisson de soja *</v>
      </c>
      <c r="D29" s="232" t="str">
        <f>IF(29=29,IF($B29="","",IF(E29="X",""&amp;"Céréales contenant du gluten","")&amp;IF(F29="X",IF(COUNTIF($E29:$E29,"X")&gt;0,", ","")&amp;"Crustacés","")&amp;IF(G29="X",IF(COUNTIF($E29:$F29,"X")&gt;0,", ","")&amp;"Œufs","")&amp;IF(H29="X",IF(COUNTIF($E29:$G29,"X")&gt;0,", ","")&amp;"Poissons","")&amp;IF(I29="X",IF(COUNTIF($E29:$H29,"X")&gt;0,", ","")&amp;"Arachides","")&amp;IF(J29="X",IF(COUNTIF($E29:$I29,"X")&gt;0,", ","")&amp;"Soja","")&amp;IF(K29="X",IF(COUNTIF($E29:$J29,"X")&gt;0,", ","")&amp;"Lait","")&amp;IF(L29="X",IF(COUNTIF($E29:$K29,"X")&gt;0,", ","")&amp;"Fruits à coque","")&amp;IF(M29="X",IF(COUNTIF($E29:$L29,"X")&gt;0,", ","")&amp;"Céleri","")&amp;IF(N29="X",IF(COUNTIF($E29:$M29,"X")&gt;0,", ","")&amp;"Moutarde","")&amp;IF(O29="X",IF(COUNTIF($E29:$N29,"X")&gt;0,", ","")&amp;"Sésame","")&amp;IF(P29="X",IF(COUNTIF($E29:$O29,"X")&gt;0,", ","")&amp;"Sulfites","")&amp;IF(Q29="X",IF(COUNTIF($E29:$P29,"X")&gt;0,", ","")&amp;"Lupin","")&amp;IF(R29="X",IF(COUNTIF($E29:$Q29,"X")&gt;0,", ","")&amp;"Mollusques","")),"")</f>
        <v>Soja, Lait</v>
      </c>
      <c r="E29" s="233" t="str">
        <f>IF(29=29,IF($B29="","",IF(OR(ISNUMBER(SEARCH(" biere sans gluten ",$AA29)),ISNUMBER(SEARCH(" gluten free beer ",$AA29)),ISNUMBER(SEARCH(" beer gluten free ",$AA29))),"",IF(AF29="X","X",IF(OR(AF29="?",OR(ISNUMBER(SEARCH(" worcestershire ",$AA29)),ISNUMBER(SEARCH(" bloody mary ",$AA29)))),"?","")))),"")</f>
        <v/>
      </c>
      <c r="F29" s="233" t="str">
        <f>IF(29=29,IF($B29="","",AI29),"")</f>
        <v/>
      </c>
      <c r="G29" s="233" t="str">
        <f>IF(29=29,IF($B29="","",IF(OR(TRIM($AA29)="puree pate d amande",TRIM($AA29)="pate puree d amande",TRIM($AA29)="puree d amande",TRIM($AA29)="pate d amande",TRIM($AA29)="pate puree de noisette",TRIM($AA29)="puree pate de noisette",TRIM($AA29)="puree de noisette",TRIM($AA29)="pate de noisette"),"",IF(OR(AM29="X",OR(ISNUMBER(SEARCH(" macaron ",$AA29)),ISNUMBER(SEARCH(" egg nog ",$AA29)),ISNUMBER(SEARCH(" eggnog ",$AA29)))),"X",IF(OR(AM29="?",OR(ISNUMBER(SEARCH(" biscuit decoratif ",$AA29)),ISNUMBER(SEARCH(" whisky sour ",$AA29)),ISNUMBER(SEARCH(" whiskey sour ",$AA29)),ISNUMBER(SEARCH(" amaretto sour ",$AA29)),ISNUMBER(SEARCH(" pisco sour ",$AA29)),ISNUMBER(SEARCH(" clover club ",$AA29)),ISNUMBER(SEARCH(" ramos gin fizz ",$AA29)))),"?","")))),"")</f>
        <v/>
      </c>
      <c r="H29" s="233" t="str">
        <f>IF(29=29,IF($B29="","",IF(ISNUMBER(SEARCH(" colin ",$AA29)),"X",IF(AZ29="X","X",IF(OR(AZ29="?",OR(ISNUMBER(SEARCH(" worcestershire ",$AA29)),ISNUMBER(SEARCH(" bloody mary ",$AA29)))),"?","")))),"")</f>
        <v/>
      </c>
      <c r="I29" s="233" t="str">
        <f>IF(29=29,IF($B29="","",BB29),"")</f>
        <v/>
      </c>
      <c r="J29" s="233" t="str">
        <f>IF(29=29,IF($B29="","",BF29),"")</f>
        <v>X</v>
      </c>
      <c r="K29" s="233" t="str">
        <f>IF(29=29,IF($B29="","",IF(OR(OR(TRIM($AA29)="puree pate d amande",TRIM($AA29)="pate puree d amande",TRIM($AA29)="puree d amande",TRIM($AA29)="pate d amande",TRIM($AA29)="pate puree de noisette",TRIM($AA29)="puree pate de noisette",TRIM($AA29)="puree de noisette",TRIM($AA29)="pate de noisette"),OR(TRIM($AA29)="beurre puree d arachide",TRIM($AA29)="beurre d arachide",TRIM($AA29)="puree d arachide"),OR(TRIM($AA29)="tahini puree de sesame",TRIM($AA29)="tahini",TRIM($AA29)="puree de sesame")),"",IF(OR(TRIM($AA29)="creme de cassis",TRIM($AA29)="creme de menthe",TRIM($AA29)="creme de cacao",TRIM($AA29)="creme de mure",TRIM($AA29)="creme de framboise",TRIM($AA29)="creme de peche",TRIM($AA29)="creme de banane",TRIM($AA29)="liqueur creme de coco",TRIM($AA29)="creme de coco",TRIM($AA29)="spiritueux aromatise arrange creme de spiritueux"),"?",IF(OR(BM29="X",OR(ISNUMBER(SEARCH(" baileys ",$AA29)),ISNUMBER(SEARCH(" irish cream ",$AA29)),ISNUMBER(SEARCH(" creme de whisky ",$AA29)))),"X",IF(OR(BM29="?",OR(OR(TRIM($AA29)="creme de cassis",TRIM($AA29)="creme de menthe",TRIM($AA29)="creme de cacao",TRIM($AA29)="creme de mure",TRIM($AA29)="creme de framboise",TRIM($AA29)="creme de peche",TRIM($AA29)="creme de banane",TRIM($AA29)="liqueur creme de coco",TRIM($AA29)="creme de coco",TRIM($AA29)="spiritueux aromatise arrange creme de spiritueux"),ISNUMBER(SEARCH(" advocaat ",$AA29)),ISNUMBER(SEARCH(" liqueur aux oeufs ",$AA29)),ISNUMBER(SEARCH(" liqueur de chocolat ",$AA29)),ISNUMBER(SEARCH(" liqueur de caramel ",$AA29)),ISNUMBER(SEARCH(" sauce nappage chocolat ",$AA29)),ISNUMBER(SEARCH(" biscuit decoratif ",$AA29)),ISNUMBER(SEARCH(" white russian ",$AA29)),ISNUMBER(SEARCH(" grasshopper ",$AA29)),ISNUMBER(SEARCH(" irish coffee ",$AA29)),ISNUMBER(SEARCH(" ramos gin fizz ",$AA29)),ISNUMBER(SEARCH(" egg nog ",$AA29)),ISNUMBER(SEARCH(" eggnog ",$AA29)))),"?",""))))),"")</f>
        <v>X</v>
      </c>
      <c r="L29" s="233" t="str">
        <f>IF(29=29,IF($B29="","",IF(OR(BQ29="X",OR(OR(TRIM($AA29)="puree pate d amande",TRIM($AA29)="pate puree d amande",TRIM($AA29)="puree d amande",TRIM($AA29)="pate d amande",TRIM($AA29)="pate puree de noisette",TRIM($AA29)="puree pate de noisette",TRIM($AA29)="puree de noisette",TRIM($AA29)="pate de noisette"),ISNUMBER(SEARCH(" macaron ",$AA29)),TRIM($AA29)="fruits a coque")),"X",IF(OR(BQ29="?",OR(ISNUMBER(SEARCH(" sirop d orgeat ",$AA29)),ISNUMBER(SEARCH(" orgeat ",$AA29)),ISNUMBER(SEARCH(" amaretto ",$AA29)))),"?",""))),"")</f>
        <v/>
      </c>
      <c r="M29" s="233" t="str">
        <f>IF(29=29,IF($B29="","",IF(OR(OR(TRIM($AA29)="puree pate d amande",TRIM($AA29)="pate puree d amande",TRIM($AA29)="puree d amande",TRIM($AA29)="pate d amande",TRIM($AA29)="pate puree de noisette",TRIM($AA29)="puree pate de noisette",TRIM($AA29)="puree de noisette",TRIM($AA29)="pate de noisette"),OR(TRIM($AA29)="tahini puree de sesame",TRIM($AA29)="tahini",TRIM($AA29)="puree de sesame")),"",IF(BT29="X","X",IF(OR(BT29="?",ISNUMBER(SEARCH(" bloody mary ",$AA29))),"?","")))),"")</f>
        <v/>
      </c>
      <c r="N29" s="233" t="str">
        <f>IF(29=29,IF($B29="","",IF(OR(OR(TRIM($AA29)="puree pate d amande",TRIM($AA29)="pate puree d amande",TRIM($AA29)="puree d amande",TRIM($AA29)="pate d amande",TRIM($AA29)="pate puree de noisette",TRIM($AA29)="puree pate de noisette",TRIM($AA29)="puree de noisette",TRIM($AA29)="pate de noisette"),OR(TRIM($AA29)="tahini puree de sesame",TRIM($AA29)="tahini",TRIM($AA29)="puree de sesame")),"",IF(BW29="X","X",IF(OR(BW29="?",ISNUMBER(SEARCH(" bloody mary ",$AA29))),"?","")))),"")</f>
        <v/>
      </c>
      <c r="O29" s="233" t="str">
        <f>IF(29=29,IF($B29="","",BZ29),"")</f>
        <v/>
      </c>
      <c r="P29" s="233" t="str">
        <f>IF(29=29,IF($B29="","",CC29),"")</f>
        <v/>
      </c>
      <c r="Q29" s="233" t="str">
        <f>IF(29=29,IF($B29="","",CF29),"")</f>
        <v/>
      </c>
      <c r="R29" s="233" t="str">
        <f>IF(29=29,IF($B29="","",IF(TRIM($AA29)="fruits a coque","",IF(CL29="X","X",IF(OR(CL29="?",OR(ISNUMBER(SEARCH(" clamato ",$AA29)),ISNUMBER(SEARCH(" bloody caesar ",$AA29)))),"?","")))),"")</f>
        <v/>
      </c>
      <c r="S29" s="234" t="str">
        <f>IF(29=29,IF($B29="","",IF(E29="?",""&amp;"Céréales contenant du gluten","")&amp;IF(F29="?",IF(COUNTIF($E29:$E29,"~?")&gt;0,", ","")&amp;"Crustacés","")&amp;IF(G29="?",IF(COUNTIF($E29:$F29,"~?")&gt;0,", ","")&amp;"Œufs","")&amp;IF(H29="?",IF(COUNTIF($E29:$G29,"~?")&gt;0,", ","")&amp;"Poissons","")&amp;IF(I29="?",IF(COUNTIF($E29:$H29,"~?")&gt;0,", ","")&amp;"Arachides","")&amp;IF(J29="?",IF(COUNTIF($E29:$I29,"~?")&gt;0,", ","")&amp;"Soja","")&amp;IF(K29="?",IF(COUNTIF($E29:$J29,"~?")&gt;0,", ","")&amp;"Lait","")&amp;IF(L29="?",IF(COUNTIF($E29:$K29,"~?")&gt;0,", ","")&amp;"Fruits à coque","")&amp;IF(M29="?",IF(COUNTIF($E29:$L29,"~?")&gt;0,", ","")&amp;"Céleri","")&amp;IF(N29="?",IF(COUNTIF($E29:$M29,"~?")&gt;0,", ","")&amp;"Moutarde","")&amp;IF(O29="?",IF(COUNTIF($E29:$N29,"~?")&gt;0,", ","")&amp;"Sésame","")&amp;IF(P29="?",IF(COUNTIF($E29:$O29,"~?")&gt;0,", ","")&amp;"Sulfites","")&amp;IF(Q29="?",IF(COUNTIF($E29:$P29,"~?")&gt;0,", ","")&amp;"Lupin","")&amp;IF(R29="?",IF(COUNTIF($E29:$Q29,"~?")&gt;0,", ","")&amp;"Mollusques","")),"")</f>
        <v/>
      </c>
      <c r="U29" s="209" t="str">
        <f>IF(29=29,IF($B29="","",$B29),"")</f>
        <v>Lait / boisson de soja</v>
      </c>
      <c r="V29" s="209" t="str">
        <f>IF(29=29,LOWER(CLEAN(SUBSTITUTE(SUBSTITUTE(SUBSTITUTE(SUBSTITUTE($U29,CHAR(160)," ")," "," "),CHAR(10)," "),CHAR(13)," "))),"")</f>
        <v>lait / boisson de soja</v>
      </c>
      <c r="W29" s="209" t="str">
        <f>IF(29=29,SUBSTITUTE(SUBSTITUTE(SUBSTITUTE(SUBSTITUTE(SUBSTITUTE(SUBSTITUTE(SUBSTITUTE(SUBSTITUTE(SUBSTITUTE(SUBSTITUTE(SUBSTITUTE(SUBSTITUTE($V29,"œ","oe"),"æ","ae"),"à","a"),"á","a"),"â","a"),"ä","a"),"ã","a"),"ç","c"),"è","e"),"é","e"),"ê","e"),"ë","e"),"")</f>
        <v>lait / boisson de soja</v>
      </c>
      <c r="X29" s="209" t="str">
        <f>IF(29=29,SUBSTITUTE(SUBSTITUTE(SUBSTITUTE(SUBSTITUTE(SUBSTITUTE(SUBSTITUTE(SUBSTITUTE(SUBSTITUTE(SUBSTITUTE(SUBSTITUTE(SUBSTITUTE(SUBSTITUTE(SUBSTITUTE(SUBSTITUTE(SUBSTITUTE(SUBSTITUTE($W29,"ì","i"),"í","i"),"î","i"),"ï","i"),"ñ","n"),"ò","o"),"ó","o"),"ô","o"),"ö","o"),"õ","o"),"ù","u"),"ú","u"),"û","u"),"ü","u"),"ý","y"),"ÿ","y"),"")</f>
        <v>lait / boisson de soja</v>
      </c>
      <c r="Y29" s="209" t="str">
        <f>IF(29=29,SUBSTITUTE(SUBSTITUTE(SUBSTITUTE(SUBSTITUTE(SUBSTITUTE(SUBSTITUTE(SUBSTITUTE(SUBSTITUTE(SUBSTITUTE(SUBSTITUTE(SUBSTITUTE(SUBSTITUTE(SUBSTITUTE(SUBSTITUTE($X29,"’"," "),"`"," "),"–"," "),"—"," "),"-"," "),"'"," "),"/"," "),"_"," "),","," "),"."," "),"("," "),")"," "),";"," "),":"," "),"")</f>
        <v>lait   boisson de soja</v>
      </c>
      <c r="Z29" s="209" t="str">
        <f>IF(29=29,SUBSTITUTE(SUBSTITUTE(SUBSTITUTE(SUBSTITUTE(SUBSTITUTE(SUBSTITUTE(SUBSTITUTE(SUBSTITUTE(SUBSTITUTE(SUBSTITUTE(SUBSTITUTE(SUBSTITUTE(SUBSTITUTE(SUBSTITUTE(SUBSTITUTE($Y29,"!"," "),"?"," "),"+"," "),"*"," "),"&amp;"," "),"["," "),"]"," "),"{"," "),"}"," "),"%"," "),"="," "),"\"," "),"|"," "),"&lt;"," "),"&gt;"," "),"")</f>
        <v>lait   boisson de soja</v>
      </c>
      <c r="AA29" s="209" t="str">
        <f>IF(29=29," "&amp;TRIM(SUBSTITUTE(SUBSTITUTE(SUBSTITUTE(SUBSTITUTE(SUBSTITUTE(SUBSTITUTE($Z29,CHAR(34)," "),"  "," "),"  "," "),"  "," "),"  "," "),"  "," "))&amp;" ","")</f>
        <v xml:space="preserve"> lait boisson de soja </v>
      </c>
      <c r="AB29" s="209">
        <f>IF(29=29,IF($U29="","",SUMPRODUCT(--ISNUMBER(SEARCH(" "&amp;$CR$2:$CR$101&amp;" ",$AD29)))),"")</f>
        <v>0</v>
      </c>
      <c r="AC29" s="209">
        <f>IF(29=29,IF($U29="","",SUMPRODUCT(--ISNUMBER(SEARCH(" "&amp;$CR$102:$CR$151&amp;" ",$AD29)))),"")</f>
        <v>0</v>
      </c>
      <c r="AD29" s="209" t="str">
        <f t="shared" si="1"/>
        <v xml:space="preserve"> lait boisson de soja </v>
      </c>
      <c r="AE29" s="209">
        <f t="shared" si="2"/>
        <v>0</v>
      </c>
      <c r="AF29" s="209" t="str">
        <f>IF(29=29,IF($U29="","",IF(SUM(AB29:AC29)+SUMPRODUCT(--ISNUMBER(SEARCH(" "&amp;$CR$2418:$CR$2420&amp;" ",$AD29)))&gt;0,"X",IF(AE29&gt;0,"?",""))),"")</f>
        <v/>
      </c>
      <c r="AG29" s="209">
        <f>IF(29=29,IF($U29="","",SUMPRODUCT(--ISNUMBER(SEARCH(" "&amp;$CR$206:$CR$305&amp;" ",$AA29)))),"")</f>
        <v>0</v>
      </c>
      <c r="AH29" s="209">
        <f>IF(29=29,IF($U29="","",SUMPRODUCT(--ISNUMBER(SEARCH(" "&amp;$CR$306:$CR$340&amp;" ",$AA29)))),"")</f>
        <v>0</v>
      </c>
      <c r="AI29" s="209" t="str">
        <f>IF(29=29,IF($U29="","",IF((SUM(AG29:AH29))-(0)&gt;0,"X",IF((0)-(0)&gt;0,"?",""))),"")</f>
        <v/>
      </c>
      <c r="AJ29" s="209">
        <f>IF(29=29,IF($U29="","",SUMPRODUCT(--ISNUMBER(SEARCH(" "&amp;$CR$341:$CR$398&amp;" ",$AA29)))),"")</f>
        <v>0</v>
      </c>
      <c r="AK29" s="209">
        <f>IF(29=29,IF($U29="","",SUMPRODUCT(--ISNUMBER(SEARCH(" "&amp;$CR$399:$CR$426&amp;" ",$AL29)))+SUMPRODUCT(--ISNUMBER(SEARCH(" "&amp;$CR$2440:$CR$2453&amp;" ",$AL29)))),"")</f>
        <v>0</v>
      </c>
      <c r="AL29" s="209" t="str">
        <f>IF(29=29,IF($U29="","",SUBSTITUTE(SUBSTITUTE(SUBSTITUTE(SUBSTITUTE(SUBSTITUTE(SUBSTITUTE(SUBSTITUTE(SUBSTITUTE(SUBSTITUTE(SUBSTITUTE(SUBSTITUTE(SUBSTITUTE(SUBSTITUTE(SUBSTITUTE($AA29,"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lait boisson de soja </v>
      </c>
      <c r="AM29" s="209" t="str">
        <f>IF(29=29,IF($U29="","",IF(AJ29&gt;0,"X",IF(AK29&gt;0,"?",""))),"")</f>
        <v/>
      </c>
      <c r="AN29" s="209">
        <f>IF(29=29,IF($U29="","",SUMPRODUCT(--ISNUMBER(SEARCH(" "&amp;$CR$436:$CR$535&amp;" ",$AX29)))),"")</f>
        <v>0</v>
      </c>
      <c r="AO29" s="209">
        <f>IF(29=29,IF($U29="","",SUMPRODUCT(--ISNUMBER(SEARCH(" "&amp;$CR$536:$CR$635&amp;" ",$AX29)))),"")</f>
        <v>0</v>
      </c>
      <c r="AP29" s="209">
        <f>IF(29=29,IF($U29="","",SUMPRODUCT(--ISNUMBER(SEARCH(" "&amp;$CR$636:$CR$735&amp;" ",$AX29)))),"")</f>
        <v>0</v>
      </c>
      <c r="AQ29" s="209">
        <f>IF(29=29,IF($U29="","",SUMPRODUCT(--ISNUMBER(SEARCH(" "&amp;$CR$736:$CR$835&amp;" ",$AX29)))),"")</f>
        <v>0</v>
      </c>
      <c r="AR29" s="209">
        <f>IF(29=29,IF($U29="","",SUMPRODUCT(--ISNUMBER(SEARCH(" "&amp;$CR$836:$CR$935&amp;" ",$AX29)))),"")</f>
        <v>0</v>
      </c>
      <c r="AS29" s="209">
        <f>IF(29=29,IF($U29="","",SUMPRODUCT(--ISNUMBER(SEARCH(" "&amp;$CR$936:$CR$1035&amp;" ",$AX29)))),"")</f>
        <v>0</v>
      </c>
      <c r="AT29" s="209">
        <f>IF(29=29,IF($U29="","",SUMPRODUCT(--ISNUMBER(SEARCH(" "&amp;$CR$1036:$CR$1135&amp;" ",$AX29)))),"")</f>
        <v>0</v>
      </c>
      <c r="AU29" s="209">
        <f>IF(29=29,IF($U29="","",SUMPRODUCT(--ISNUMBER(SEARCH(" "&amp;$CR$1136:$CR$1235&amp;" ",$AX29)))),"")</f>
        <v>0</v>
      </c>
      <c r="AV29" s="209">
        <f>IF(29=29,IF($U29="","",SUMPRODUCT(--ISNUMBER(SEARCH(" "&amp;$CR$1236:$CR$1335&amp;" ",$AX29)))),"")</f>
        <v>0</v>
      </c>
      <c r="AW29" s="209">
        <f>IF(29=29,IF($U29="","",SUMPRODUCT(--ISNUMBER(SEARCH(" "&amp;$CR$1336:$CR$1363&amp;" ",$AX29)))),"")</f>
        <v>0</v>
      </c>
      <c r="AX29" s="209" t="str">
        <f>IF(29=29,IF($U29="","",SUBSTITUTE(SUBSTITUTE(SUBSTITUTE(SUBSTITUTE(SUBSTITUTE(SUBSTITUTE(SUBSTITUTE(SUBSTITUTE(SUBSTITUTE($AA29,"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lait boisson de soja </v>
      </c>
      <c r="AY29" s="209">
        <f>IF(29=29,IF($U29="","",SUMPRODUCT(--ISNUMBER(SEARCH(" "&amp;$CR$1373:$CR$1383&amp;" ",$AX29)))),"")</f>
        <v>0</v>
      </c>
      <c r="AZ29" s="209" t="str">
        <f>IF(29=29,IF($U29="","",IF(SUM(AN29:AW29)+SUMPRODUCT(--ISNUMBER(SEARCH(" "&amp;$CR$2421:$CR$2422&amp;" ",$AX29)))&gt;0,"X",IF(AY29&gt;0,"?",""))),"")</f>
        <v/>
      </c>
      <c r="BA29" s="209">
        <f>IF(29=29,IF($U29="","",SUMPRODUCT(--ISNUMBER(SEARCH(" "&amp;$CR$1384:$CR$1404&amp;" ",$AA29)))),"")</f>
        <v>0</v>
      </c>
      <c r="BB29" s="209" t="str">
        <f>IF(29=29,IF($U29="","",IF((BA29)-(0)&gt;0,"X",IF((0)-(0)&gt;0,"?",""))),"")</f>
        <v/>
      </c>
      <c r="BC29" s="209">
        <f>IF(29=29,IF($U29="","",SUMPRODUCT(--ISNUMBER(SEARCH(" "&amp;$CR$1405:$CR$1442&amp;" ",$BD29)))),"")</f>
        <v>1</v>
      </c>
      <c r="BD29" s="209" t="str">
        <f>IF(29=29,IF($U29="","",SUBSTITUTE(SUBSTITUTE($AA29," "&amp;$CR$1443&amp;" "," ")," "&amp;$CR$1444&amp;" "," ")),"")</f>
        <v xml:space="preserve"> lait boisson de soja </v>
      </c>
      <c r="BE29" s="209">
        <f>IF(29=29,IF($U29="","",SUMPRODUCT(--ISNUMBER(SEARCH(" "&amp;$CR$1445:$CR$1455&amp;" ",$BD29)))),"")</f>
        <v>0</v>
      </c>
      <c r="BF29" s="209" t="str">
        <f>IF(29=29,IF($U29="","",IF(BC29&gt;0,"X",IF(BE29&gt;0,"?",""))),"")</f>
        <v>X</v>
      </c>
      <c r="BG29" s="209">
        <f>IF(29=29,IF($U29="","",SUMPRODUCT(--ISNUMBER(SEARCH(" "&amp;$CR$1456:$CR$1555&amp;" ",$BJ29)))),"")</f>
        <v>0</v>
      </c>
      <c r="BH29" s="209">
        <f>IF(29=29,IF($U29="","",SUMPRODUCT(--ISNUMBER(SEARCH(" "&amp;$CR$1556:$CR$1655&amp;" ",$BJ29)))),"")</f>
        <v>1</v>
      </c>
      <c r="BI29" s="209">
        <f>IF(29=29,IF($U29="","",SUMPRODUCT(--ISNUMBER(SEARCH(" "&amp;$CR$1656:$CR$1739&amp;" ",$BJ29)))),"")</f>
        <v>0</v>
      </c>
      <c r="BJ29" s="209" t="str">
        <f>IF(29=29,IF($U29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29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lait boisson de soja </v>
      </c>
      <c r="BK29" s="209">
        <f>IF(29=29,IF($U29="","",SUMPRODUCT(--ISNUMBER(SEARCH(" "&amp;$CR$1790:$CR$1869&amp;" ",$BL29)))+SUMPRODUCT(--ISNUMBER(SEARCH(" "&amp;$CR$2440:$CR$2453&amp;" ",$BL29)))),"")</f>
        <v>0</v>
      </c>
      <c r="BL29" s="209" t="str">
        <f>IF(29=29,IF($U29="","",SUBSTITUTE(SUBSTITUTE(SUBSTITUTE(SUBSTITUTE(SUBSTITUTE(SUBSTITUTE(SUBSTITUTE(SUBSTITUTE(SUBSTITUTE(SUBSTITUTE(SUBSTITUTE(SUBSTITUTE(SUBSTITUTE($BJ29,"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lait boisson de soja </v>
      </c>
      <c r="BM29" s="209" t="str">
        <f>IF(29=29,IF($U29="","",IF(SUM(BG29:BI29)+SUMPRODUCT(--ISNUMBER(SEARCH(" "&amp;$CR$2423:$CR$2424&amp;" ",$BJ29)))&gt;0,"X",IF(BK29&gt;0,"?",""))),"")</f>
        <v>X</v>
      </c>
      <c r="BN29" s="209">
        <f>IF(29=29,IF($U29="","",SUMPRODUCT(--ISNUMBER(SEARCH(" "&amp;$CR$1879:$CR$1936&amp;" ",$BO29)))),"")</f>
        <v>0</v>
      </c>
      <c r="BO29" s="209" t="str">
        <f>IF(29=29,IF($U29="","",SUBSTITUTE(SUBSTITUTE(SUBSTITUTE(SUBSTITUTE(SUBSTITUTE(SUBSTITUTE(SUBSTITUTE(SUBSTITUTE(SUBSTITUTE(SUBSTITUTE(SUBSTITUTE(SUBSTITUTE(SUBSTITUTE(SUBSTITUTE(SUBSTITUTE(SUBSTITUTE(SUBSTITUTE(SUBSTITUTE(SUBSTITUTE(SUBSTITUTE(SUBSTITUTE(SUBSTITUTE(SUBSTITUTE($AA29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lait boisson de soja </v>
      </c>
      <c r="BP29" s="209">
        <f>IF(29=29,IF($U29="","",SUMPRODUCT(--ISNUMBER(SEARCH(" "&amp;$CR$1960:$CR$1976&amp;" ",$BO29)))),"")</f>
        <v>0</v>
      </c>
      <c r="BQ29" s="209" t="str">
        <f>IF(29=29,IF($U29="","",IF(BN29&gt;0,"X",IF(BP29&gt;0,"?",""))),"")</f>
        <v/>
      </c>
      <c r="BR29" s="209">
        <f>IF(29=29,IF($U29="","",SUMPRODUCT(--ISNUMBER(SEARCH(" "&amp;$CR$1977:$CR$1990&amp;" ",$AA29)))),"")</f>
        <v>0</v>
      </c>
      <c r="BS29" s="209">
        <f>IF(29=29,IF($U29="","",SUMPRODUCT(--ISNUMBER(SEARCH(" "&amp;$CR$1991:$CR$2005&amp;" ",$AA29)))),"")</f>
        <v>0</v>
      </c>
      <c r="BT29" s="209" t="str">
        <f>IF(29=29,IF($U29="","",IF((BR29)-(0)&gt;0,"X",IF((BS29)-(0)&gt;0,"?",""))),"")</f>
        <v/>
      </c>
      <c r="BU29" s="209">
        <f>IF(29=29,IF($U29="","",SUMPRODUCT(--ISNUMBER(SEARCH(" "&amp;$CR$2006:$CR$2023&amp;" ",$AA29)))),"")</f>
        <v>0</v>
      </c>
      <c r="BV29" s="209">
        <f>IF(29=29,IF($U29="","",SUMPRODUCT(--ISNUMBER(SEARCH(" "&amp;$CR$2024:$CR$2038&amp;" ",$AA29)))),"")</f>
        <v>0</v>
      </c>
      <c r="BW29" s="209" t="str">
        <f>IF(29=29,IF($U29="","",IF((BU29)-(0)&gt;0,"X",IF((BV29)-(0)&gt;0,"?",""))),"")</f>
        <v/>
      </c>
      <c r="BX29" s="209">
        <f>IF(29=29,IF($U29="","",SUMPRODUCT(--ISNUMBER(SEARCH(" "&amp;$CR$2039:$CR$2057&amp;" ",$AA29)))),"")</f>
        <v>0</v>
      </c>
      <c r="BY29" s="209">
        <f>IF(29=29,IF($U29="","",SUMPRODUCT(--ISNUMBER(SEARCH(" "&amp;$CR$2058:$CR$2072&amp;" ",$AA29)))),"")</f>
        <v>0</v>
      </c>
      <c r="BZ29" s="209" t="str">
        <f>IF(29=29,IF($U29="","",IF((BX29)-(0)&gt;0,"X",IF((BY29)-(0)&gt;0,"?",""))),"")</f>
        <v/>
      </c>
      <c r="CA29" s="209">
        <f>IF(29=29,IF($U29="","",SUMPRODUCT(--ISNUMBER(SEARCH(" "&amp;$CR$2073:$CR$2093&amp;" ",$AA29)))),"")</f>
        <v>0</v>
      </c>
      <c r="CB29" s="209">
        <f>IF(29=29,IF($U29="","",SUMPRODUCT(--ISNUMBER(SEARCH(" "&amp;$CR$2094:$CR$2133&amp;" ",SUBSTITUTE(SUBSTITUTE($AA29," "&amp;$CR$1367&amp;" "," ")," "&amp;$CR$1366&amp;" "," "))))+--ISNUMBER(SEARCH("poiré",$V29))),"")</f>
        <v>0</v>
      </c>
      <c r="CC29" s="209" t="str">
        <f>IF(29=29,IF($U29="","",IF(OR(CA29&gt;0,ISNUMBER(SEARCH(" vinaigre de vin ",$AA29)),ISNUMBER(SEARCH(" vinaigre au vin ",$AA29))),"X",IF(CB29&gt;0,"?",""))),"")</f>
        <v/>
      </c>
      <c r="CD29" s="209">
        <f>IF(29=29,IF($U29="","",SUMPRODUCT(--ISNUMBER(SEARCH(" "&amp;$CR$2134:$CR$2146&amp;" ",$AA29)))),"")</f>
        <v>0</v>
      </c>
      <c r="CE29" s="209">
        <f>IF(29=29,IF($U29="","",SUMPRODUCT(--ISNUMBER(SEARCH(" "&amp;$CR$2147:$CR$2152&amp;" ",$AA29)))),"")</f>
        <v>0</v>
      </c>
      <c r="CF29" s="209" t="str">
        <f>IF(29=29,IF($U29="","",IF((CD29)-(0)&gt;0,"X",IF((CE29)-(0)&gt;0,"?",""))),"")</f>
        <v/>
      </c>
      <c r="CG29" s="209">
        <f>IF(29=29,IF($U29="","",SUMPRODUCT(--ISNUMBER(SEARCH(" "&amp;$CR$2153:$CR$2252&amp;" ",$CJ29)))),"")</f>
        <v>0</v>
      </c>
      <c r="CH29" s="209">
        <f>IF(29=29,IF($U29="","",SUMPRODUCT(--ISNUMBER(SEARCH(" "&amp;$CR$2253:$CR$2352&amp;" ",$CJ29)))),"")</f>
        <v>0</v>
      </c>
      <c r="CI29" s="209">
        <f>IF(29=29,IF($U29="","",SUMPRODUCT(--ISNUMBER(SEARCH(" "&amp;$CR$2353:$CR$2395&amp;" ",$CJ29)))),"")</f>
        <v>0</v>
      </c>
      <c r="CJ29" s="209" t="str">
        <f>IF(29=29,IF($U29="","",SUBSTITUTE(SUBSTITUTE(SUBSTITUTE(SUBSTITUTE(SUBSTITUTE(SUBSTITUTE(SUBSTITUTE(SUBSTITUTE(SUBSTITUTE(SUBSTITUTE(SUBSTITUTE(SUBSTITUTE(SUBSTITUTE(SUBSTITUTE(SUBSTITUTE(SUBSTITUTE($AA29,"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lait boisson de soja </v>
      </c>
      <c r="CK29" s="209">
        <f>IF(29=29,IF($U29="","",SUMPRODUCT(--ISNUMBER(SEARCH(" "&amp;$CR$2412:$CR$2416&amp;" ",$CJ29)))),"")</f>
        <v>0</v>
      </c>
      <c r="CL29" s="209" t="str">
        <f>IF(29=29,IF($U29="","",IF(SUM(CG29:CI29)&gt;0,"X",IF(CK29&gt;0,"?",""))),"")</f>
        <v/>
      </c>
      <c r="CM29" s="210"/>
      <c r="CN29" s="213" t="s">
        <v>1025</v>
      </c>
      <c r="CO29" s="213" t="s">
        <v>878</v>
      </c>
      <c r="CP29" s="213" t="s">
        <v>879</v>
      </c>
      <c r="CQ29" s="213" t="s">
        <v>1026</v>
      </c>
      <c r="CR29" s="213" t="s">
        <v>1026</v>
      </c>
      <c r="CS29" s="213" t="s">
        <v>881</v>
      </c>
      <c r="CT29" s="213" t="s">
        <v>882</v>
      </c>
      <c r="CU29" s="213" t="s">
        <v>883</v>
      </c>
      <c r="CV29" s="214" t="s">
        <v>884</v>
      </c>
      <c r="CX29" s="212">
        <v>1</v>
      </c>
    </row>
    <row r="30" spans="1:102" ht="21" customHeight="1">
      <c r="A30" s="229">
        <v>24</v>
      </c>
      <c r="B30" s="230" t="s">
        <v>6541</v>
      </c>
      <c r="C30" s="231" t="str">
        <f t="shared" si="0"/>
        <v>Crème de soja *</v>
      </c>
      <c r="D30" s="232" t="str">
        <f>IF(30=30,IF($B30="","",IF(E30="X",""&amp;"Céréales contenant du gluten","")&amp;IF(F30="X",IF(COUNTIF($E30:$E30,"X")&gt;0,", ","")&amp;"Crustacés","")&amp;IF(G30="X",IF(COUNTIF($E30:$F30,"X")&gt;0,", ","")&amp;"Œufs","")&amp;IF(H30="X",IF(COUNTIF($E30:$G30,"X")&gt;0,", ","")&amp;"Poissons","")&amp;IF(I30="X",IF(COUNTIF($E30:$H30,"X")&gt;0,", ","")&amp;"Arachides","")&amp;IF(J30="X",IF(COUNTIF($E30:$I30,"X")&gt;0,", ","")&amp;"Soja","")&amp;IF(K30="X",IF(COUNTIF($E30:$J30,"X")&gt;0,", ","")&amp;"Lait","")&amp;IF(L30="X",IF(COUNTIF($E30:$K30,"X")&gt;0,", ","")&amp;"Fruits à coque","")&amp;IF(M30="X",IF(COUNTIF($E30:$L30,"X")&gt;0,", ","")&amp;"Céleri","")&amp;IF(N30="X",IF(COUNTIF($E30:$M30,"X")&gt;0,", ","")&amp;"Moutarde","")&amp;IF(O30="X",IF(COUNTIF($E30:$N30,"X")&gt;0,", ","")&amp;"Sésame","")&amp;IF(P30="X",IF(COUNTIF($E30:$O30,"X")&gt;0,", ","")&amp;"Sulfites","")&amp;IF(Q30="X",IF(COUNTIF($E30:$P30,"X")&gt;0,", ","")&amp;"Lupin","")&amp;IF(R30="X",IF(COUNTIF($E30:$Q30,"X")&gt;0,", ","")&amp;"Mollusques","")),"")</f>
        <v>Soja</v>
      </c>
      <c r="E30" s="233" t="str">
        <f>IF(30=30,IF($B30="","",IF(OR(ISNUMBER(SEARCH(" biere sans gluten ",$AA30)),ISNUMBER(SEARCH(" gluten free beer ",$AA30)),ISNUMBER(SEARCH(" beer gluten free ",$AA30))),"",IF(AF30="X","X",IF(OR(AF30="?",OR(ISNUMBER(SEARCH(" worcestershire ",$AA30)),ISNUMBER(SEARCH(" bloody mary ",$AA30)))),"?","")))),"")</f>
        <v/>
      </c>
      <c r="F30" s="233" t="str">
        <f>IF(30=30,IF($B30="","",AI30),"")</f>
        <v/>
      </c>
      <c r="G30" s="233" t="str">
        <f>IF(30=30,IF($B30="","",IF(OR(TRIM($AA30)="puree pate d amande",TRIM($AA30)="pate puree d amande",TRIM($AA30)="puree d amande",TRIM($AA30)="pate d amande",TRIM($AA30)="pate puree de noisette",TRIM($AA30)="puree pate de noisette",TRIM($AA30)="puree de noisette",TRIM($AA30)="pate de noisette"),"",IF(OR(AM30="X",OR(ISNUMBER(SEARCH(" macaron ",$AA30)),ISNUMBER(SEARCH(" egg nog ",$AA30)),ISNUMBER(SEARCH(" eggnog ",$AA30)))),"X",IF(OR(AM30="?",OR(ISNUMBER(SEARCH(" biscuit decoratif ",$AA30)),ISNUMBER(SEARCH(" whisky sour ",$AA30)),ISNUMBER(SEARCH(" whiskey sour ",$AA30)),ISNUMBER(SEARCH(" amaretto sour ",$AA30)),ISNUMBER(SEARCH(" pisco sour ",$AA30)),ISNUMBER(SEARCH(" clover club ",$AA30)),ISNUMBER(SEARCH(" ramos gin fizz ",$AA30)))),"?","")))),"")</f>
        <v/>
      </c>
      <c r="H30" s="233" t="str">
        <f>IF(30=30,IF($B30="","",IF(ISNUMBER(SEARCH(" colin ",$AA30)),"X",IF(AZ30="X","X",IF(OR(AZ30="?",OR(ISNUMBER(SEARCH(" worcestershire ",$AA30)),ISNUMBER(SEARCH(" bloody mary ",$AA30)))),"?","")))),"")</f>
        <v/>
      </c>
      <c r="I30" s="233" t="str">
        <f>IF(30=30,IF($B30="","",BB30),"")</f>
        <v/>
      </c>
      <c r="J30" s="233" t="str">
        <f>IF(30=30,IF($B30="","",BF30),"")</f>
        <v>X</v>
      </c>
      <c r="K30" s="233" t="str">
        <f>IF(30=30,IF($B30="","",IF(OR(OR(TRIM($AA30)="puree pate d amande",TRIM($AA30)="pate puree d amande",TRIM($AA30)="puree d amande",TRIM($AA30)="pate d amande",TRIM($AA30)="pate puree de noisette",TRIM($AA30)="puree pate de noisette",TRIM($AA30)="puree de noisette",TRIM($AA30)="pate de noisette"),OR(TRIM($AA30)="beurre puree d arachide",TRIM($AA30)="beurre d arachide",TRIM($AA30)="puree d arachide"),OR(TRIM($AA30)="tahini puree de sesame",TRIM($AA30)="tahini",TRIM($AA30)="puree de sesame")),"",IF(OR(TRIM($AA30)="creme de cassis",TRIM($AA30)="creme de menthe",TRIM($AA30)="creme de cacao",TRIM($AA30)="creme de mure",TRIM($AA30)="creme de framboise",TRIM($AA30)="creme de peche",TRIM($AA30)="creme de banane",TRIM($AA30)="liqueur creme de coco",TRIM($AA30)="creme de coco",TRIM($AA30)="spiritueux aromatise arrange creme de spiritueux"),"?",IF(OR(BM30="X",OR(ISNUMBER(SEARCH(" baileys ",$AA30)),ISNUMBER(SEARCH(" irish cream ",$AA30)),ISNUMBER(SEARCH(" creme de whisky ",$AA30)))),"X",IF(OR(BM30="?",OR(OR(TRIM($AA30)="creme de cassis",TRIM($AA30)="creme de menthe",TRIM($AA30)="creme de cacao",TRIM($AA30)="creme de mure",TRIM($AA30)="creme de framboise",TRIM($AA30)="creme de peche",TRIM($AA30)="creme de banane",TRIM($AA30)="liqueur creme de coco",TRIM($AA30)="creme de coco",TRIM($AA30)="spiritueux aromatise arrange creme de spiritueux"),ISNUMBER(SEARCH(" advocaat ",$AA30)),ISNUMBER(SEARCH(" liqueur aux oeufs ",$AA30)),ISNUMBER(SEARCH(" liqueur de chocolat ",$AA30)),ISNUMBER(SEARCH(" liqueur de caramel ",$AA30)),ISNUMBER(SEARCH(" sauce nappage chocolat ",$AA30)),ISNUMBER(SEARCH(" biscuit decoratif ",$AA30)),ISNUMBER(SEARCH(" white russian ",$AA30)),ISNUMBER(SEARCH(" grasshopper ",$AA30)),ISNUMBER(SEARCH(" irish coffee ",$AA30)),ISNUMBER(SEARCH(" ramos gin fizz ",$AA30)),ISNUMBER(SEARCH(" egg nog ",$AA30)),ISNUMBER(SEARCH(" eggnog ",$AA30)))),"?",""))))),"")</f>
        <v/>
      </c>
      <c r="L30" s="233" t="str">
        <f>IF(30=30,IF($B30="","",IF(OR(BQ30="X",OR(OR(TRIM($AA30)="puree pate d amande",TRIM($AA30)="pate puree d amande",TRIM($AA30)="puree d amande",TRIM($AA30)="pate d amande",TRIM($AA30)="pate puree de noisette",TRIM($AA30)="puree pate de noisette",TRIM($AA30)="puree de noisette",TRIM($AA30)="pate de noisette"),ISNUMBER(SEARCH(" macaron ",$AA30)),TRIM($AA30)="fruits a coque")),"X",IF(OR(BQ30="?",OR(ISNUMBER(SEARCH(" sirop d orgeat ",$AA30)),ISNUMBER(SEARCH(" orgeat ",$AA30)),ISNUMBER(SEARCH(" amaretto ",$AA30)))),"?",""))),"")</f>
        <v/>
      </c>
      <c r="M30" s="233" t="str">
        <f>IF(30=30,IF($B30="","",IF(OR(OR(TRIM($AA30)="puree pate d amande",TRIM($AA30)="pate puree d amande",TRIM($AA30)="puree d amande",TRIM($AA30)="pate d amande",TRIM($AA30)="pate puree de noisette",TRIM($AA30)="puree pate de noisette",TRIM($AA30)="puree de noisette",TRIM($AA30)="pate de noisette"),OR(TRIM($AA30)="tahini puree de sesame",TRIM($AA30)="tahini",TRIM($AA30)="puree de sesame")),"",IF(BT30="X","X",IF(OR(BT30="?",ISNUMBER(SEARCH(" bloody mary ",$AA30))),"?","")))),"")</f>
        <v/>
      </c>
      <c r="N30" s="233" t="str">
        <f>IF(30=30,IF($B30="","",IF(OR(OR(TRIM($AA30)="puree pate d amande",TRIM($AA30)="pate puree d amande",TRIM($AA30)="puree d amande",TRIM($AA30)="pate d amande",TRIM($AA30)="pate puree de noisette",TRIM($AA30)="puree pate de noisette",TRIM($AA30)="puree de noisette",TRIM($AA30)="pate de noisette"),OR(TRIM($AA30)="tahini puree de sesame",TRIM($AA30)="tahini",TRIM($AA30)="puree de sesame")),"",IF(BW30="X","X",IF(OR(BW30="?",ISNUMBER(SEARCH(" bloody mary ",$AA30))),"?","")))),"")</f>
        <v/>
      </c>
      <c r="O30" s="233" t="str">
        <f>IF(30=30,IF($B30="","",BZ30),"")</f>
        <v/>
      </c>
      <c r="P30" s="233" t="str">
        <f>IF(30=30,IF($B30="","",CC30),"")</f>
        <v/>
      </c>
      <c r="Q30" s="233" t="str">
        <f>IF(30=30,IF($B30="","",CF30),"")</f>
        <v/>
      </c>
      <c r="R30" s="233" t="str">
        <f>IF(30=30,IF($B30="","",IF(TRIM($AA30)="fruits a coque","",IF(CL30="X","X",IF(OR(CL30="?",OR(ISNUMBER(SEARCH(" clamato ",$AA30)),ISNUMBER(SEARCH(" bloody caesar ",$AA30)))),"?","")))),"")</f>
        <v/>
      </c>
      <c r="S30" s="234" t="str">
        <f>IF(30=30,IF($B30="","",IF(E30="?",""&amp;"Céréales contenant du gluten","")&amp;IF(F30="?",IF(COUNTIF($E30:$E30,"~?")&gt;0,", ","")&amp;"Crustacés","")&amp;IF(G30="?",IF(COUNTIF($E30:$F30,"~?")&gt;0,", ","")&amp;"Œufs","")&amp;IF(H30="?",IF(COUNTIF($E30:$G30,"~?")&gt;0,", ","")&amp;"Poissons","")&amp;IF(I30="?",IF(COUNTIF($E30:$H30,"~?")&gt;0,", ","")&amp;"Arachides","")&amp;IF(J30="?",IF(COUNTIF($E30:$I30,"~?")&gt;0,", ","")&amp;"Soja","")&amp;IF(K30="?",IF(COUNTIF($E30:$J30,"~?")&gt;0,", ","")&amp;"Lait","")&amp;IF(L30="?",IF(COUNTIF($E30:$K30,"~?")&gt;0,", ","")&amp;"Fruits à coque","")&amp;IF(M30="?",IF(COUNTIF($E30:$L30,"~?")&gt;0,", ","")&amp;"Céleri","")&amp;IF(N30="?",IF(COUNTIF($E30:$M30,"~?")&gt;0,", ","")&amp;"Moutarde","")&amp;IF(O30="?",IF(COUNTIF($E30:$N30,"~?")&gt;0,", ","")&amp;"Sésame","")&amp;IF(P30="?",IF(COUNTIF($E30:$O30,"~?")&gt;0,", ","")&amp;"Sulfites","")&amp;IF(Q30="?",IF(COUNTIF($E30:$P30,"~?")&gt;0,", ","")&amp;"Lupin","")&amp;IF(R30="?",IF(COUNTIF($E30:$Q30,"~?")&gt;0,", ","")&amp;"Mollusques","")),"")</f>
        <v/>
      </c>
      <c r="U30" s="209" t="str">
        <f>IF(30=30,IF($B30="","",$B30),"")</f>
        <v>Crème de soja</v>
      </c>
      <c r="V30" s="209" t="str">
        <f>IF(30=30,LOWER(CLEAN(SUBSTITUTE(SUBSTITUTE(SUBSTITUTE(SUBSTITUTE($U30,CHAR(160)," ")," "," "),CHAR(10)," "),CHAR(13)," "))),"")</f>
        <v>crème de soja</v>
      </c>
      <c r="W30" s="209" t="str">
        <f>IF(30=30,SUBSTITUTE(SUBSTITUTE(SUBSTITUTE(SUBSTITUTE(SUBSTITUTE(SUBSTITUTE(SUBSTITUTE(SUBSTITUTE(SUBSTITUTE(SUBSTITUTE(SUBSTITUTE(SUBSTITUTE($V30,"œ","oe"),"æ","ae"),"à","a"),"á","a"),"â","a"),"ä","a"),"ã","a"),"ç","c"),"è","e"),"é","e"),"ê","e"),"ë","e"),"")</f>
        <v>creme de soja</v>
      </c>
      <c r="X30" s="209" t="str">
        <f>IF(30=30,SUBSTITUTE(SUBSTITUTE(SUBSTITUTE(SUBSTITUTE(SUBSTITUTE(SUBSTITUTE(SUBSTITUTE(SUBSTITUTE(SUBSTITUTE(SUBSTITUTE(SUBSTITUTE(SUBSTITUTE(SUBSTITUTE(SUBSTITUTE(SUBSTITUTE(SUBSTITUTE($W30,"ì","i"),"í","i"),"î","i"),"ï","i"),"ñ","n"),"ò","o"),"ó","o"),"ô","o"),"ö","o"),"õ","o"),"ù","u"),"ú","u"),"û","u"),"ü","u"),"ý","y"),"ÿ","y"),"")</f>
        <v>creme de soja</v>
      </c>
      <c r="Y30" s="209" t="str">
        <f>IF(30=30,SUBSTITUTE(SUBSTITUTE(SUBSTITUTE(SUBSTITUTE(SUBSTITUTE(SUBSTITUTE(SUBSTITUTE(SUBSTITUTE(SUBSTITUTE(SUBSTITUTE(SUBSTITUTE(SUBSTITUTE(SUBSTITUTE(SUBSTITUTE($X30,"’"," "),"`"," "),"–"," "),"—"," "),"-"," "),"'"," "),"/"," "),"_"," "),","," "),"."," "),"("," "),")"," "),";"," "),":"," "),"")</f>
        <v>creme de soja</v>
      </c>
      <c r="Z30" s="209" t="str">
        <f>IF(30=30,SUBSTITUTE(SUBSTITUTE(SUBSTITUTE(SUBSTITUTE(SUBSTITUTE(SUBSTITUTE(SUBSTITUTE(SUBSTITUTE(SUBSTITUTE(SUBSTITUTE(SUBSTITUTE(SUBSTITUTE(SUBSTITUTE(SUBSTITUTE(SUBSTITUTE($Y30,"!"," "),"?"," "),"+"," "),"*"," "),"&amp;"," "),"["," "),"]"," "),"{"," "),"}"," "),"%"," "),"="," "),"\"," "),"|"," "),"&lt;"," "),"&gt;"," "),"")</f>
        <v>creme de soja</v>
      </c>
      <c r="AA30" s="209" t="str">
        <f>IF(30=30," "&amp;TRIM(SUBSTITUTE(SUBSTITUTE(SUBSTITUTE(SUBSTITUTE(SUBSTITUTE(SUBSTITUTE($Z30,CHAR(34)," "),"  "," "),"  "," "),"  "," "),"  "," "),"  "," "))&amp;" ","")</f>
        <v xml:space="preserve"> creme de soja </v>
      </c>
      <c r="AB30" s="209">
        <f>IF(30=30,IF($U30="","",SUMPRODUCT(--ISNUMBER(SEARCH(" "&amp;$CR$2:$CR$101&amp;" ",$AD30)))),"")</f>
        <v>0</v>
      </c>
      <c r="AC30" s="209">
        <f>IF(30=30,IF($U30="","",SUMPRODUCT(--ISNUMBER(SEARCH(" "&amp;$CR$102:$CR$151&amp;" ",$AD30)))),"")</f>
        <v>0</v>
      </c>
      <c r="AD30" s="209" t="str">
        <f t="shared" si="1"/>
        <v xml:space="preserve"> creme de soja </v>
      </c>
      <c r="AE30" s="209">
        <f t="shared" si="2"/>
        <v>0</v>
      </c>
      <c r="AF30" s="209" t="str">
        <f>IF(30=30,IF($U30="","",IF(SUM(AB30:AC30)+SUMPRODUCT(--ISNUMBER(SEARCH(" "&amp;$CR$2418:$CR$2420&amp;" ",$AD30)))&gt;0,"X",IF(AE30&gt;0,"?",""))),"")</f>
        <v/>
      </c>
      <c r="AG30" s="209">
        <f>IF(30=30,IF($U30="","",SUMPRODUCT(--ISNUMBER(SEARCH(" "&amp;$CR$206:$CR$305&amp;" ",$AA30)))),"")</f>
        <v>0</v>
      </c>
      <c r="AH30" s="209">
        <f>IF(30=30,IF($U30="","",SUMPRODUCT(--ISNUMBER(SEARCH(" "&amp;$CR$306:$CR$340&amp;" ",$AA30)))),"")</f>
        <v>0</v>
      </c>
      <c r="AI30" s="209" t="str">
        <f>IF(30=30,IF($U30="","",IF((SUM(AG30:AH30))-(0)&gt;0,"X",IF((0)-(0)&gt;0,"?",""))),"")</f>
        <v/>
      </c>
      <c r="AJ30" s="209">
        <f>IF(30=30,IF($U30="","",SUMPRODUCT(--ISNUMBER(SEARCH(" "&amp;$CR$341:$CR$398&amp;" ",$AA30)))),"")</f>
        <v>0</v>
      </c>
      <c r="AK30" s="209">
        <f>IF(30=30,IF($U30="","",SUMPRODUCT(--ISNUMBER(SEARCH(" "&amp;$CR$399:$CR$426&amp;" ",$AL30)))+SUMPRODUCT(--ISNUMBER(SEARCH(" "&amp;$CR$2440:$CR$2453&amp;" ",$AL30)))),"")</f>
        <v>0</v>
      </c>
      <c r="AL30" s="209" t="str">
        <f>IF(30=30,IF($U30="","",SUBSTITUTE(SUBSTITUTE(SUBSTITUTE(SUBSTITUTE(SUBSTITUTE(SUBSTITUTE(SUBSTITUTE(SUBSTITUTE(SUBSTITUTE(SUBSTITUTE(SUBSTITUTE(SUBSTITUTE(SUBSTITUTE(SUBSTITUTE($AA30,"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creme de soja </v>
      </c>
      <c r="AM30" s="209" t="str">
        <f>IF(30=30,IF($U30="","",IF(AJ30&gt;0,"X",IF(AK30&gt;0,"?",""))),"")</f>
        <v/>
      </c>
      <c r="AN30" s="209">
        <f>IF(30=30,IF($U30="","",SUMPRODUCT(--ISNUMBER(SEARCH(" "&amp;$CR$436:$CR$535&amp;" ",$AX30)))),"")</f>
        <v>0</v>
      </c>
      <c r="AO30" s="209">
        <f>IF(30=30,IF($U30="","",SUMPRODUCT(--ISNUMBER(SEARCH(" "&amp;$CR$536:$CR$635&amp;" ",$AX30)))),"")</f>
        <v>0</v>
      </c>
      <c r="AP30" s="209">
        <f>IF(30=30,IF($U30="","",SUMPRODUCT(--ISNUMBER(SEARCH(" "&amp;$CR$636:$CR$735&amp;" ",$AX30)))),"")</f>
        <v>0</v>
      </c>
      <c r="AQ30" s="209">
        <f>IF(30=30,IF($U30="","",SUMPRODUCT(--ISNUMBER(SEARCH(" "&amp;$CR$736:$CR$835&amp;" ",$AX30)))),"")</f>
        <v>0</v>
      </c>
      <c r="AR30" s="209">
        <f>IF(30=30,IF($U30="","",SUMPRODUCT(--ISNUMBER(SEARCH(" "&amp;$CR$836:$CR$935&amp;" ",$AX30)))),"")</f>
        <v>0</v>
      </c>
      <c r="AS30" s="209">
        <f>IF(30=30,IF($U30="","",SUMPRODUCT(--ISNUMBER(SEARCH(" "&amp;$CR$936:$CR$1035&amp;" ",$AX30)))),"")</f>
        <v>0</v>
      </c>
      <c r="AT30" s="209">
        <f>IF(30=30,IF($U30="","",SUMPRODUCT(--ISNUMBER(SEARCH(" "&amp;$CR$1036:$CR$1135&amp;" ",$AX30)))),"")</f>
        <v>0</v>
      </c>
      <c r="AU30" s="209">
        <f>IF(30=30,IF($U30="","",SUMPRODUCT(--ISNUMBER(SEARCH(" "&amp;$CR$1136:$CR$1235&amp;" ",$AX30)))),"")</f>
        <v>0</v>
      </c>
      <c r="AV30" s="209">
        <f>IF(30=30,IF($U30="","",SUMPRODUCT(--ISNUMBER(SEARCH(" "&amp;$CR$1236:$CR$1335&amp;" ",$AX30)))),"")</f>
        <v>0</v>
      </c>
      <c r="AW30" s="209">
        <f>IF(30=30,IF($U30="","",SUMPRODUCT(--ISNUMBER(SEARCH(" "&amp;$CR$1336:$CR$1363&amp;" ",$AX30)))),"")</f>
        <v>0</v>
      </c>
      <c r="AX30" s="209" t="str">
        <f>IF(30=30,IF($U30="","",SUBSTITUTE(SUBSTITUTE(SUBSTITUTE(SUBSTITUTE(SUBSTITUTE(SUBSTITUTE(SUBSTITUTE(SUBSTITUTE(SUBSTITUTE($AA30,"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creme de soja </v>
      </c>
      <c r="AY30" s="209">
        <f>IF(30=30,IF($U30="","",SUMPRODUCT(--ISNUMBER(SEARCH(" "&amp;$CR$1373:$CR$1383&amp;" ",$AX30)))),"")</f>
        <v>0</v>
      </c>
      <c r="AZ30" s="209" t="str">
        <f>IF(30=30,IF($U30="","",IF(SUM(AN30:AW30)+SUMPRODUCT(--ISNUMBER(SEARCH(" "&amp;$CR$2421:$CR$2422&amp;" ",$AX30)))&gt;0,"X",IF(AY30&gt;0,"?",""))),"")</f>
        <v/>
      </c>
      <c r="BA30" s="209">
        <f>IF(30=30,IF($U30="","",SUMPRODUCT(--ISNUMBER(SEARCH(" "&amp;$CR$1384:$CR$1404&amp;" ",$AA30)))),"")</f>
        <v>0</v>
      </c>
      <c r="BB30" s="209" t="str">
        <f>IF(30=30,IF($U30="","",IF((BA30)-(0)&gt;0,"X",IF((0)-(0)&gt;0,"?",""))),"")</f>
        <v/>
      </c>
      <c r="BC30" s="209">
        <f>IF(30=30,IF($U30="","",SUMPRODUCT(--ISNUMBER(SEARCH(" "&amp;$CR$1405:$CR$1442&amp;" ",$BD30)))),"")</f>
        <v>2</v>
      </c>
      <c r="BD30" s="209" t="str">
        <f>IF(30=30,IF($U30="","",SUBSTITUTE(SUBSTITUTE($AA30," "&amp;$CR$1443&amp;" "," ")," "&amp;$CR$1444&amp;" "," ")),"")</f>
        <v xml:space="preserve"> creme de soja </v>
      </c>
      <c r="BE30" s="209">
        <f>IF(30=30,IF($U30="","",SUMPRODUCT(--ISNUMBER(SEARCH(" "&amp;$CR$1445:$CR$1455&amp;" ",$BD30)))),"")</f>
        <v>0</v>
      </c>
      <c r="BF30" s="209" t="str">
        <f>IF(30=30,IF($U30="","",IF(BC30&gt;0,"X",IF(BE30&gt;0,"?",""))),"")</f>
        <v>X</v>
      </c>
      <c r="BG30" s="209">
        <f>IF(30=30,IF($U30="","",SUMPRODUCT(--ISNUMBER(SEARCH(" "&amp;$CR$1456:$CR$1555&amp;" ",$BJ30)))),"")</f>
        <v>0</v>
      </c>
      <c r="BH30" s="209">
        <f>IF(30=30,IF($U30="","",SUMPRODUCT(--ISNUMBER(SEARCH(" "&amp;$CR$1556:$CR$1655&amp;" ",$BJ30)))),"")</f>
        <v>0</v>
      </c>
      <c r="BI30" s="209">
        <f>IF(30=30,IF($U30="","",SUMPRODUCT(--ISNUMBER(SEARCH(" "&amp;$CR$1656:$CR$1739&amp;" ",$BJ30)))),"")</f>
        <v>0</v>
      </c>
      <c r="BJ30" s="209" t="str">
        <f>IF(30=30,IF($U30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30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</v>
      </c>
      <c r="BK30" s="209">
        <f>IF(30=30,IF($U30="","",SUMPRODUCT(--ISNUMBER(SEARCH(" "&amp;$CR$1790:$CR$1869&amp;" ",$BL30)))+SUMPRODUCT(--ISNUMBER(SEARCH(" "&amp;$CR$2440:$CR$2453&amp;" ",$BL30)))),"")</f>
        <v>0</v>
      </c>
      <c r="BL30" s="209" t="str">
        <f>IF(30=30,IF($U30="","",SUBSTITUTE(SUBSTITUTE(SUBSTITUTE(SUBSTITUTE(SUBSTITUTE(SUBSTITUTE(SUBSTITUTE(SUBSTITUTE(SUBSTITUTE(SUBSTITUTE(SUBSTITUTE(SUBSTITUTE(SUBSTITUTE($BJ30,"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</v>
      </c>
      <c r="BM30" s="209" t="str">
        <f>IF(30=30,IF($U30="","",IF(SUM(BG30:BI30)+SUMPRODUCT(--ISNUMBER(SEARCH(" "&amp;$CR$2423:$CR$2424&amp;" ",$BJ30)))&gt;0,"X",IF(BK30&gt;0,"?",""))),"")</f>
        <v/>
      </c>
      <c r="BN30" s="209">
        <f>IF(30=30,IF($U30="","",SUMPRODUCT(--ISNUMBER(SEARCH(" "&amp;$CR$1879:$CR$1936&amp;" ",$BO30)))),"")</f>
        <v>0</v>
      </c>
      <c r="BO30" s="209" t="str">
        <f>IF(30=30,IF($U30="","",SUBSTITUTE(SUBSTITUTE(SUBSTITUTE(SUBSTITUTE(SUBSTITUTE(SUBSTITUTE(SUBSTITUTE(SUBSTITUTE(SUBSTITUTE(SUBSTITUTE(SUBSTITUTE(SUBSTITUTE(SUBSTITUTE(SUBSTITUTE(SUBSTITUTE(SUBSTITUTE(SUBSTITUTE(SUBSTITUTE(SUBSTITUTE(SUBSTITUTE(SUBSTITUTE(SUBSTITUTE(SUBSTITUTE($AA30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creme de soja </v>
      </c>
      <c r="BP30" s="209">
        <f>IF(30=30,IF($U30="","",SUMPRODUCT(--ISNUMBER(SEARCH(" "&amp;$CR$1960:$CR$1976&amp;" ",$BO30)))),"")</f>
        <v>0</v>
      </c>
      <c r="BQ30" s="209" t="str">
        <f>IF(30=30,IF($U30="","",IF(BN30&gt;0,"X",IF(BP30&gt;0,"?",""))),"")</f>
        <v/>
      </c>
      <c r="BR30" s="209">
        <f>IF(30=30,IF($U30="","",SUMPRODUCT(--ISNUMBER(SEARCH(" "&amp;$CR$1977:$CR$1990&amp;" ",$AA30)))),"")</f>
        <v>0</v>
      </c>
      <c r="BS30" s="209">
        <f>IF(30=30,IF($U30="","",SUMPRODUCT(--ISNUMBER(SEARCH(" "&amp;$CR$1991:$CR$2005&amp;" ",$AA30)))),"")</f>
        <v>0</v>
      </c>
      <c r="BT30" s="209" t="str">
        <f>IF(30=30,IF($U30="","",IF((BR30)-(0)&gt;0,"X",IF((BS30)-(0)&gt;0,"?",""))),"")</f>
        <v/>
      </c>
      <c r="BU30" s="209">
        <f>IF(30=30,IF($U30="","",SUMPRODUCT(--ISNUMBER(SEARCH(" "&amp;$CR$2006:$CR$2023&amp;" ",$AA30)))),"")</f>
        <v>0</v>
      </c>
      <c r="BV30" s="209">
        <f>IF(30=30,IF($U30="","",SUMPRODUCT(--ISNUMBER(SEARCH(" "&amp;$CR$2024:$CR$2038&amp;" ",$AA30)))),"")</f>
        <v>0</v>
      </c>
      <c r="BW30" s="209" t="str">
        <f>IF(30=30,IF($U30="","",IF((BU30)-(0)&gt;0,"X",IF((BV30)-(0)&gt;0,"?",""))),"")</f>
        <v/>
      </c>
      <c r="BX30" s="209">
        <f>IF(30=30,IF($U30="","",SUMPRODUCT(--ISNUMBER(SEARCH(" "&amp;$CR$2039:$CR$2057&amp;" ",$AA30)))),"")</f>
        <v>0</v>
      </c>
      <c r="BY30" s="209">
        <f>IF(30=30,IF($U30="","",SUMPRODUCT(--ISNUMBER(SEARCH(" "&amp;$CR$2058:$CR$2072&amp;" ",$AA30)))),"")</f>
        <v>0</v>
      </c>
      <c r="BZ30" s="209" t="str">
        <f>IF(30=30,IF($U30="","",IF((BX30)-(0)&gt;0,"X",IF((BY30)-(0)&gt;0,"?",""))),"")</f>
        <v/>
      </c>
      <c r="CA30" s="209">
        <f>IF(30=30,IF($U30="","",SUMPRODUCT(--ISNUMBER(SEARCH(" "&amp;$CR$2073:$CR$2093&amp;" ",$AA30)))),"")</f>
        <v>0</v>
      </c>
      <c r="CB30" s="209">
        <f>IF(30=30,IF($U30="","",SUMPRODUCT(--ISNUMBER(SEARCH(" "&amp;$CR$2094:$CR$2133&amp;" ",SUBSTITUTE(SUBSTITUTE($AA30," "&amp;$CR$1367&amp;" "," ")," "&amp;$CR$1366&amp;" "," "))))+--ISNUMBER(SEARCH("poiré",$V30))),"")</f>
        <v>0</v>
      </c>
      <c r="CC30" s="209" t="str">
        <f>IF(30=30,IF($U30="","",IF(OR(CA30&gt;0,ISNUMBER(SEARCH(" vinaigre de vin ",$AA30)),ISNUMBER(SEARCH(" vinaigre au vin ",$AA30))),"X",IF(CB30&gt;0,"?",""))),"")</f>
        <v/>
      </c>
      <c r="CD30" s="209">
        <f>IF(30=30,IF($U30="","",SUMPRODUCT(--ISNUMBER(SEARCH(" "&amp;$CR$2134:$CR$2146&amp;" ",$AA30)))),"")</f>
        <v>0</v>
      </c>
      <c r="CE30" s="209">
        <f>IF(30=30,IF($U30="","",SUMPRODUCT(--ISNUMBER(SEARCH(" "&amp;$CR$2147:$CR$2152&amp;" ",$AA30)))),"")</f>
        <v>0</v>
      </c>
      <c r="CF30" s="209" t="str">
        <f>IF(30=30,IF($U30="","",IF((CD30)-(0)&gt;0,"X",IF((CE30)-(0)&gt;0,"?",""))),"")</f>
        <v/>
      </c>
      <c r="CG30" s="209">
        <f>IF(30=30,IF($U30="","",SUMPRODUCT(--ISNUMBER(SEARCH(" "&amp;$CR$2153:$CR$2252&amp;" ",$CJ30)))),"")</f>
        <v>0</v>
      </c>
      <c r="CH30" s="209">
        <f>IF(30=30,IF($U30="","",SUMPRODUCT(--ISNUMBER(SEARCH(" "&amp;$CR$2253:$CR$2352&amp;" ",$CJ30)))),"")</f>
        <v>0</v>
      </c>
      <c r="CI30" s="209">
        <f>IF(30=30,IF($U30="","",SUMPRODUCT(--ISNUMBER(SEARCH(" "&amp;$CR$2353:$CR$2395&amp;" ",$CJ30)))),"")</f>
        <v>0</v>
      </c>
      <c r="CJ30" s="209" t="str">
        <f>IF(30=30,IF($U30="","",SUBSTITUTE(SUBSTITUTE(SUBSTITUTE(SUBSTITUTE(SUBSTITUTE(SUBSTITUTE(SUBSTITUTE(SUBSTITUTE(SUBSTITUTE(SUBSTITUTE(SUBSTITUTE(SUBSTITUTE(SUBSTITUTE(SUBSTITUTE(SUBSTITUTE(SUBSTITUTE($AA30,"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creme de soja </v>
      </c>
      <c r="CK30" s="209">
        <f>IF(30=30,IF($U30="","",SUMPRODUCT(--ISNUMBER(SEARCH(" "&amp;$CR$2412:$CR$2416&amp;" ",$CJ30)))),"")</f>
        <v>0</v>
      </c>
      <c r="CL30" s="209" t="str">
        <f>IF(30=30,IF($U30="","",IF(SUM(CG30:CI30)&gt;0,"X",IF(CK30&gt;0,"?",""))),"")</f>
        <v/>
      </c>
      <c r="CM30" s="210"/>
      <c r="CN30" s="213" t="s">
        <v>1027</v>
      </c>
      <c r="CO30" s="213" t="s">
        <v>878</v>
      </c>
      <c r="CP30" s="213" t="s">
        <v>879</v>
      </c>
      <c r="CQ30" s="213" t="s">
        <v>1028</v>
      </c>
      <c r="CR30" s="213" t="s">
        <v>1028</v>
      </c>
      <c r="CS30" s="213" t="s">
        <v>881</v>
      </c>
      <c r="CT30" s="213" t="s">
        <v>882</v>
      </c>
      <c r="CU30" s="213" t="s">
        <v>883</v>
      </c>
      <c r="CV30" s="214" t="s">
        <v>884</v>
      </c>
      <c r="CX30" s="212">
        <v>1</v>
      </c>
    </row>
    <row r="31" spans="1:102" ht="21" customHeight="1">
      <c r="A31" s="229">
        <v>25</v>
      </c>
      <c r="B31" s="230" t="s">
        <v>6545</v>
      </c>
      <c r="C31" s="231" t="str">
        <f t="shared" si="0"/>
        <v>Sauce soja *</v>
      </c>
      <c r="D31" s="232" t="str">
        <f>IF(31=31,IF($B31="","",IF(E31="X",""&amp;"Céréales contenant du gluten","")&amp;IF(F31="X",IF(COUNTIF($E31:$E31,"X")&gt;0,", ","")&amp;"Crustacés","")&amp;IF(G31="X",IF(COUNTIF($E31:$F31,"X")&gt;0,", ","")&amp;"Œufs","")&amp;IF(H31="X",IF(COUNTIF($E31:$G31,"X")&gt;0,", ","")&amp;"Poissons","")&amp;IF(I31="X",IF(COUNTIF($E31:$H31,"X")&gt;0,", ","")&amp;"Arachides","")&amp;IF(J31="X",IF(COUNTIF($E31:$I31,"X")&gt;0,", ","")&amp;"Soja","")&amp;IF(K31="X",IF(COUNTIF($E31:$J31,"X")&gt;0,", ","")&amp;"Lait","")&amp;IF(L31="X",IF(COUNTIF($E31:$K31,"X")&gt;0,", ","")&amp;"Fruits à coque","")&amp;IF(M31="X",IF(COUNTIF($E31:$L31,"X")&gt;0,", ","")&amp;"Céleri","")&amp;IF(N31="X",IF(COUNTIF($E31:$M31,"X")&gt;0,", ","")&amp;"Moutarde","")&amp;IF(O31="X",IF(COUNTIF($E31:$N31,"X")&gt;0,", ","")&amp;"Sésame","")&amp;IF(P31="X",IF(COUNTIF($E31:$O31,"X")&gt;0,", ","")&amp;"Sulfites","")&amp;IF(Q31="X",IF(COUNTIF($E31:$P31,"X")&gt;0,", ","")&amp;"Lupin","")&amp;IF(R31="X",IF(COUNTIF($E31:$Q31,"X")&gt;0,", ","")&amp;"Mollusques","")),"")</f>
        <v>Soja</v>
      </c>
      <c r="E31" s="233" t="str">
        <f>IF(31=31,IF($B31="","",IF(OR(ISNUMBER(SEARCH(" biere sans gluten ",$AA31)),ISNUMBER(SEARCH(" gluten free beer ",$AA31)),ISNUMBER(SEARCH(" beer gluten free ",$AA31))),"",IF(AF31="X","X",IF(OR(AF31="?",OR(ISNUMBER(SEARCH(" worcestershire ",$AA31)),ISNUMBER(SEARCH(" bloody mary ",$AA31)))),"?","")))),"")</f>
        <v>?</v>
      </c>
      <c r="F31" s="233" t="str">
        <f>IF(31=31,IF($B31="","",AI31),"")</f>
        <v/>
      </c>
      <c r="G31" s="233" t="str">
        <f>IF(31=31,IF($B31="","",IF(OR(TRIM($AA31)="puree pate d amande",TRIM($AA31)="pate puree d amande",TRIM($AA31)="puree d amande",TRIM($AA31)="pate d amande",TRIM($AA31)="pate puree de noisette",TRIM($AA31)="puree pate de noisette",TRIM($AA31)="puree de noisette",TRIM($AA31)="pate de noisette"),"",IF(OR(AM31="X",OR(ISNUMBER(SEARCH(" macaron ",$AA31)),ISNUMBER(SEARCH(" egg nog ",$AA31)),ISNUMBER(SEARCH(" eggnog ",$AA31)))),"X",IF(OR(AM31="?",OR(ISNUMBER(SEARCH(" biscuit decoratif ",$AA31)),ISNUMBER(SEARCH(" whisky sour ",$AA31)),ISNUMBER(SEARCH(" whiskey sour ",$AA31)),ISNUMBER(SEARCH(" amaretto sour ",$AA31)),ISNUMBER(SEARCH(" pisco sour ",$AA31)),ISNUMBER(SEARCH(" clover club ",$AA31)),ISNUMBER(SEARCH(" ramos gin fizz ",$AA31)))),"?","")))),"")</f>
        <v/>
      </c>
      <c r="H31" s="233" t="str">
        <f>IF(31=31,IF($B31="","",IF(ISNUMBER(SEARCH(" colin ",$AA31)),"X",IF(AZ31="X","X",IF(OR(AZ31="?",OR(ISNUMBER(SEARCH(" worcestershire ",$AA31)),ISNUMBER(SEARCH(" bloody mary ",$AA31)))),"?","")))),"")</f>
        <v/>
      </c>
      <c r="I31" s="233" t="str">
        <f>IF(31=31,IF($B31="","",BB31),"")</f>
        <v/>
      </c>
      <c r="J31" s="233" t="str">
        <f>IF(31=31,IF($B31="","",BF31),"")</f>
        <v>X</v>
      </c>
      <c r="K31" s="233" t="str">
        <f>IF(31=31,IF($B31="","",IF(OR(OR(TRIM($AA31)="puree pate d amande",TRIM($AA31)="pate puree d amande",TRIM($AA31)="puree d amande",TRIM($AA31)="pate d amande",TRIM($AA31)="pate puree de noisette",TRIM($AA31)="puree pate de noisette",TRIM($AA31)="puree de noisette",TRIM($AA31)="pate de noisette"),OR(TRIM($AA31)="beurre puree d arachide",TRIM($AA31)="beurre d arachide",TRIM($AA31)="puree d arachide"),OR(TRIM($AA31)="tahini puree de sesame",TRIM($AA31)="tahini",TRIM($AA31)="puree de sesame")),"",IF(OR(TRIM($AA31)="creme de cassis",TRIM($AA31)="creme de menthe",TRIM($AA31)="creme de cacao",TRIM($AA31)="creme de mure",TRIM($AA31)="creme de framboise",TRIM($AA31)="creme de peche",TRIM($AA31)="creme de banane",TRIM($AA31)="liqueur creme de coco",TRIM($AA31)="creme de coco",TRIM($AA31)="spiritueux aromatise arrange creme de spiritueux"),"?",IF(OR(BM31="X",OR(ISNUMBER(SEARCH(" baileys ",$AA31)),ISNUMBER(SEARCH(" irish cream ",$AA31)),ISNUMBER(SEARCH(" creme de whisky ",$AA31)))),"X",IF(OR(BM31="?",OR(OR(TRIM($AA31)="creme de cassis",TRIM($AA31)="creme de menthe",TRIM($AA31)="creme de cacao",TRIM($AA31)="creme de mure",TRIM($AA31)="creme de framboise",TRIM($AA31)="creme de peche",TRIM($AA31)="creme de banane",TRIM($AA31)="liqueur creme de coco",TRIM($AA31)="creme de coco",TRIM($AA31)="spiritueux aromatise arrange creme de spiritueux"),ISNUMBER(SEARCH(" advocaat ",$AA31)),ISNUMBER(SEARCH(" liqueur aux oeufs ",$AA31)),ISNUMBER(SEARCH(" liqueur de chocolat ",$AA31)),ISNUMBER(SEARCH(" liqueur de caramel ",$AA31)),ISNUMBER(SEARCH(" sauce nappage chocolat ",$AA31)),ISNUMBER(SEARCH(" biscuit decoratif ",$AA31)),ISNUMBER(SEARCH(" white russian ",$AA31)),ISNUMBER(SEARCH(" grasshopper ",$AA31)),ISNUMBER(SEARCH(" irish coffee ",$AA31)),ISNUMBER(SEARCH(" ramos gin fizz ",$AA31)),ISNUMBER(SEARCH(" egg nog ",$AA31)),ISNUMBER(SEARCH(" eggnog ",$AA31)))),"?",""))))),"")</f>
        <v/>
      </c>
      <c r="L31" s="233" t="str">
        <f>IF(31=31,IF($B31="","",IF(OR(BQ31="X",OR(OR(TRIM($AA31)="puree pate d amande",TRIM($AA31)="pate puree d amande",TRIM($AA31)="puree d amande",TRIM($AA31)="pate d amande",TRIM($AA31)="pate puree de noisette",TRIM($AA31)="puree pate de noisette",TRIM($AA31)="puree de noisette",TRIM($AA31)="pate de noisette"),ISNUMBER(SEARCH(" macaron ",$AA31)),TRIM($AA31)="fruits a coque")),"X",IF(OR(BQ31="?",OR(ISNUMBER(SEARCH(" sirop d orgeat ",$AA31)),ISNUMBER(SEARCH(" orgeat ",$AA31)),ISNUMBER(SEARCH(" amaretto ",$AA31)))),"?",""))),"")</f>
        <v/>
      </c>
      <c r="M31" s="233" t="str">
        <f>IF(31=31,IF($B31="","",IF(OR(OR(TRIM($AA31)="puree pate d amande",TRIM($AA31)="pate puree d amande",TRIM($AA31)="puree d amande",TRIM($AA31)="pate d amande",TRIM($AA31)="pate puree de noisette",TRIM($AA31)="puree pate de noisette",TRIM($AA31)="puree de noisette",TRIM($AA31)="pate de noisette"),OR(TRIM($AA31)="tahini puree de sesame",TRIM($AA31)="tahini",TRIM($AA31)="puree de sesame")),"",IF(BT31="X","X",IF(OR(BT31="?",ISNUMBER(SEARCH(" bloody mary ",$AA31))),"?","")))),"")</f>
        <v/>
      </c>
      <c r="N31" s="233" t="str">
        <f>IF(31=31,IF($B31="","",IF(OR(OR(TRIM($AA31)="puree pate d amande",TRIM($AA31)="pate puree d amande",TRIM($AA31)="puree d amande",TRIM($AA31)="pate d amande",TRIM($AA31)="pate puree de noisette",TRIM($AA31)="puree pate de noisette",TRIM($AA31)="puree de noisette",TRIM($AA31)="pate de noisette"),OR(TRIM($AA31)="tahini puree de sesame",TRIM($AA31)="tahini",TRIM($AA31)="puree de sesame")),"",IF(BW31="X","X",IF(OR(BW31="?",ISNUMBER(SEARCH(" bloody mary ",$AA31))),"?","")))),"")</f>
        <v/>
      </c>
      <c r="O31" s="233" t="str">
        <f>IF(31=31,IF($B31="","",BZ31),"")</f>
        <v/>
      </c>
      <c r="P31" s="233" t="str">
        <f>IF(31=31,IF($B31="","",CC31),"")</f>
        <v/>
      </c>
      <c r="Q31" s="233" t="str">
        <f>IF(31=31,IF($B31="","",CF31),"")</f>
        <v/>
      </c>
      <c r="R31" s="233" t="str">
        <f>IF(31=31,IF($B31="","",IF(TRIM($AA31)="fruits a coque","",IF(CL31="X","X",IF(OR(CL31="?",OR(ISNUMBER(SEARCH(" clamato ",$AA31)),ISNUMBER(SEARCH(" bloody caesar ",$AA31)))),"?","")))),"")</f>
        <v/>
      </c>
      <c r="S31" s="234" t="str">
        <f>IF(31=31,IF($B31="","",IF(E31="?",""&amp;"Céréales contenant du gluten","")&amp;IF(F31="?",IF(COUNTIF($E31:$E31,"~?")&gt;0,", ","")&amp;"Crustacés","")&amp;IF(G31="?",IF(COUNTIF($E31:$F31,"~?")&gt;0,", ","")&amp;"Œufs","")&amp;IF(H31="?",IF(COUNTIF($E31:$G31,"~?")&gt;0,", ","")&amp;"Poissons","")&amp;IF(I31="?",IF(COUNTIF($E31:$H31,"~?")&gt;0,", ","")&amp;"Arachides","")&amp;IF(J31="?",IF(COUNTIF($E31:$I31,"~?")&gt;0,", ","")&amp;"Soja","")&amp;IF(K31="?",IF(COUNTIF($E31:$J31,"~?")&gt;0,", ","")&amp;"Lait","")&amp;IF(L31="?",IF(COUNTIF($E31:$K31,"~?")&gt;0,", ","")&amp;"Fruits à coque","")&amp;IF(M31="?",IF(COUNTIF($E31:$L31,"~?")&gt;0,", ","")&amp;"Céleri","")&amp;IF(N31="?",IF(COUNTIF($E31:$M31,"~?")&gt;0,", ","")&amp;"Moutarde","")&amp;IF(O31="?",IF(COUNTIF($E31:$N31,"~?")&gt;0,", ","")&amp;"Sésame","")&amp;IF(P31="?",IF(COUNTIF($E31:$O31,"~?")&gt;0,", ","")&amp;"Sulfites","")&amp;IF(Q31="?",IF(COUNTIF($E31:$P31,"~?")&gt;0,", ","")&amp;"Lupin","")&amp;IF(R31="?",IF(COUNTIF($E31:$Q31,"~?")&gt;0,", ","")&amp;"Mollusques","")),"")</f>
        <v>Céréales contenant du gluten</v>
      </c>
      <c r="U31" s="209" t="str">
        <f>IF(31=31,IF($B31="","",$B31),"")</f>
        <v>Sauce soja</v>
      </c>
      <c r="V31" s="209" t="str">
        <f>IF(31=31,LOWER(CLEAN(SUBSTITUTE(SUBSTITUTE(SUBSTITUTE(SUBSTITUTE($U31,CHAR(160)," ")," "," "),CHAR(10)," "),CHAR(13)," "))),"")</f>
        <v>sauce soja</v>
      </c>
      <c r="W31" s="209" t="str">
        <f>IF(31=31,SUBSTITUTE(SUBSTITUTE(SUBSTITUTE(SUBSTITUTE(SUBSTITUTE(SUBSTITUTE(SUBSTITUTE(SUBSTITUTE(SUBSTITUTE(SUBSTITUTE(SUBSTITUTE(SUBSTITUTE($V31,"œ","oe"),"æ","ae"),"à","a"),"á","a"),"â","a"),"ä","a"),"ã","a"),"ç","c"),"è","e"),"é","e"),"ê","e"),"ë","e"),"")</f>
        <v>sauce soja</v>
      </c>
      <c r="X31" s="209" t="str">
        <f>IF(31=31,SUBSTITUTE(SUBSTITUTE(SUBSTITUTE(SUBSTITUTE(SUBSTITUTE(SUBSTITUTE(SUBSTITUTE(SUBSTITUTE(SUBSTITUTE(SUBSTITUTE(SUBSTITUTE(SUBSTITUTE(SUBSTITUTE(SUBSTITUTE(SUBSTITUTE(SUBSTITUTE($W31,"ì","i"),"í","i"),"î","i"),"ï","i"),"ñ","n"),"ò","o"),"ó","o"),"ô","o"),"ö","o"),"õ","o"),"ù","u"),"ú","u"),"û","u"),"ü","u"),"ý","y"),"ÿ","y"),"")</f>
        <v>sauce soja</v>
      </c>
      <c r="Y31" s="209" t="str">
        <f>IF(31=31,SUBSTITUTE(SUBSTITUTE(SUBSTITUTE(SUBSTITUTE(SUBSTITUTE(SUBSTITUTE(SUBSTITUTE(SUBSTITUTE(SUBSTITUTE(SUBSTITUTE(SUBSTITUTE(SUBSTITUTE(SUBSTITUTE(SUBSTITUTE($X31,"’"," "),"`"," "),"–"," "),"—"," "),"-"," "),"'"," "),"/"," "),"_"," "),","," "),"."," "),"("," "),")"," "),";"," "),":"," "),"")</f>
        <v>sauce soja</v>
      </c>
      <c r="Z31" s="209" t="str">
        <f>IF(31=31,SUBSTITUTE(SUBSTITUTE(SUBSTITUTE(SUBSTITUTE(SUBSTITUTE(SUBSTITUTE(SUBSTITUTE(SUBSTITUTE(SUBSTITUTE(SUBSTITUTE(SUBSTITUTE(SUBSTITUTE(SUBSTITUTE(SUBSTITUTE(SUBSTITUTE($Y31,"!"," "),"?"," "),"+"," "),"*"," "),"&amp;"," "),"["," "),"]"," "),"{"," "),"}"," "),"%"," "),"="," "),"\"," "),"|"," "),"&lt;"," "),"&gt;"," "),"")</f>
        <v>sauce soja</v>
      </c>
      <c r="AA31" s="209" t="str">
        <f>IF(31=31," "&amp;TRIM(SUBSTITUTE(SUBSTITUTE(SUBSTITUTE(SUBSTITUTE(SUBSTITUTE(SUBSTITUTE($Z31,CHAR(34)," "),"  "," "),"  "," "),"  "," "),"  "," "),"  "," "))&amp;" ","")</f>
        <v xml:space="preserve"> sauce soja </v>
      </c>
      <c r="AB31" s="209">
        <f>IF(31=31,IF($U31="","",SUMPRODUCT(--ISNUMBER(SEARCH(" "&amp;$CR$2:$CR$101&amp;" ",$AD31)))),"")</f>
        <v>0</v>
      </c>
      <c r="AC31" s="209">
        <f>IF(31=31,IF($U31="","",SUMPRODUCT(--ISNUMBER(SEARCH(" "&amp;$CR$102:$CR$151&amp;" ",$AD31)))),"")</f>
        <v>0</v>
      </c>
      <c r="AD31" s="209" t="str">
        <f t="shared" si="1"/>
        <v xml:space="preserve"> sauce soja </v>
      </c>
      <c r="AE31" s="209">
        <f t="shared" si="2"/>
        <v>1</v>
      </c>
      <c r="AF31" s="209" t="str">
        <f>IF(31=31,IF($U31="","",IF(SUM(AB31:AC31)+SUMPRODUCT(--ISNUMBER(SEARCH(" "&amp;$CR$2418:$CR$2420&amp;" ",$AD31)))&gt;0,"X",IF(AE31&gt;0,"?",""))),"")</f>
        <v>?</v>
      </c>
      <c r="AG31" s="209">
        <f>IF(31=31,IF($U31="","",SUMPRODUCT(--ISNUMBER(SEARCH(" "&amp;$CR$206:$CR$305&amp;" ",$AA31)))),"")</f>
        <v>0</v>
      </c>
      <c r="AH31" s="209">
        <f>IF(31=31,IF($U31="","",SUMPRODUCT(--ISNUMBER(SEARCH(" "&amp;$CR$306:$CR$340&amp;" ",$AA31)))),"")</f>
        <v>0</v>
      </c>
      <c r="AI31" s="209" t="str">
        <f>IF(31=31,IF($U31="","",IF((SUM(AG31:AH31))-(0)&gt;0,"X",IF((0)-(0)&gt;0,"?",""))),"")</f>
        <v/>
      </c>
      <c r="AJ31" s="209">
        <f>IF(31=31,IF($U31="","",SUMPRODUCT(--ISNUMBER(SEARCH(" "&amp;$CR$341:$CR$398&amp;" ",$AA31)))),"")</f>
        <v>0</v>
      </c>
      <c r="AK31" s="209">
        <f>IF(31=31,IF($U31="","",SUMPRODUCT(--ISNUMBER(SEARCH(" "&amp;$CR$399:$CR$426&amp;" ",$AL31)))+SUMPRODUCT(--ISNUMBER(SEARCH(" "&amp;$CR$2440:$CR$2453&amp;" ",$AL31)))),"")</f>
        <v>0</v>
      </c>
      <c r="AL31" s="209" t="str">
        <f>IF(31=31,IF($U31="","",SUBSTITUTE(SUBSTITUTE(SUBSTITUTE(SUBSTITUTE(SUBSTITUTE(SUBSTITUTE(SUBSTITUTE(SUBSTITUTE(SUBSTITUTE(SUBSTITUTE(SUBSTITUTE(SUBSTITUTE(SUBSTITUTE(SUBSTITUTE($AA31,"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sauce soja </v>
      </c>
      <c r="AM31" s="209" t="str">
        <f>IF(31=31,IF($U31="","",IF(AJ31&gt;0,"X",IF(AK31&gt;0,"?",""))),"")</f>
        <v/>
      </c>
      <c r="AN31" s="209">
        <f>IF(31=31,IF($U31="","",SUMPRODUCT(--ISNUMBER(SEARCH(" "&amp;$CR$436:$CR$535&amp;" ",$AX31)))),"")</f>
        <v>0</v>
      </c>
      <c r="AO31" s="209">
        <f>IF(31=31,IF($U31="","",SUMPRODUCT(--ISNUMBER(SEARCH(" "&amp;$CR$536:$CR$635&amp;" ",$AX31)))),"")</f>
        <v>0</v>
      </c>
      <c r="AP31" s="209">
        <f>IF(31=31,IF($U31="","",SUMPRODUCT(--ISNUMBER(SEARCH(" "&amp;$CR$636:$CR$735&amp;" ",$AX31)))),"")</f>
        <v>0</v>
      </c>
      <c r="AQ31" s="209">
        <f>IF(31=31,IF($U31="","",SUMPRODUCT(--ISNUMBER(SEARCH(" "&amp;$CR$736:$CR$835&amp;" ",$AX31)))),"")</f>
        <v>0</v>
      </c>
      <c r="AR31" s="209">
        <f>IF(31=31,IF($U31="","",SUMPRODUCT(--ISNUMBER(SEARCH(" "&amp;$CR$836:$CR$935&amp;" ",$AX31)))),"")</f>
        <v>0</v>
      </c>
      <c r="AS31" s="209">
        <f>IF(31=31,IF($U31="","",SUMPRODUCT(--ISNUMBER(SEARCH(" "&amp;$CR$936:$CR$1035&amp;" ",$AX31)))),"")</f>
        <v>0</v>
      </c>
      <c r="AT31" s="209">
        <f>IF(31=31,IF($U31="","",SUMPRODUCT(--ISNUMBER(SEARCH(" "&amp;$CR$1036:$CR$1135&amp;" ",$AX31)))),"")</f>
        <v>0</v>
      </c>
      <c r="AU31" s="209">
        <f>IF(31=31,IF($U31="","",SUMPRODUCT(--ISNUMBER(SEARCH(" "&amp;$CR$1136:$CR$1235&amp;" ",$AX31)))),"")</f>
        <v>0</v>
      </c>
      <c r="AV31" s="209">
        <f>IF(31=31,IF($U31="","",SUMPRODUCT(--ISNUMBER(SEARCH(" "&amp;$CR$1236:$CR$1335&amp;" ",$AX31)))),"")</f>
        <v>0</v>
      </c>
      <c r="AW31" s="209">
        <f>IF(31=31,IF($U31="","",SUMPRODUCT(--ISNUMBER(SEARCH(" "&amp;$CR$1336:$CR$1363&amp;" ",$AX31)))),"")</f>
        <v>0</v>
      </c>
      <c r="AX31" s="209" t="str">
        <f>IF(31=31,IF($U31="","",SUBSTITUTE(SUBSTITUTE(SUBSTITUTE(SUBSTITUTE(SUBSTITUTE(SUBSTITUTE(SUBSTITUTE(SUBSTITUTE(SUBSTITUTE($AA31,"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sauce soja </v>
      </c>
      <c r="AY31" s="209">
        <f>IF(31=31,IF($U31="","",SUMPRODUCT(--ISNUMBER(SEARCH(" "&amp;$CR$1373:$CR$1383&amp;" ",$AX31)))),"")</f>
        <v>0</v>
      </c>
      <c r="AZ31" s="209" t="str">
        <f>IF(31=31,IF($U31="","",IF(SUM(AN31:AW31)+SUMPRODUCT(--ISNUMBER(SEARCH(" "&amp;$CR$2421:$CR$2422&amp;" ",$AX31)))&gt;0,"X",IF(AY31&gt;0,"?",""))),"")</f>
        <v/>
      </c>
      <c r="BA31" s="209">
        <f>IF(31=31,IF($U31="","",SUMPRODUCT(--ISNUMBER(SEARCH(" "&amp;$CR$1384:$CR$1404&amp;" ",$AA31)))),"")</f>
        <v>0</v>
      </c>
      <c r="BB31" s="209" t="str">
        <f>IF(31=31,IF($U31="","",IF((BA31)-(0)&gt;0,"X",IF((0)-(0)&gt;0,"?",""))),"")</f>
        <v/>
      </c>
      <c r="BC31" s="209">
        <f>IF(31=31,IF($U31="","",SUMPRODUCT(--ISNUMBER(SEARCH(" "&amp;$CR$1405:$CR$1442&amp;" ",$BD31)))),"")</f>
        <v>2</v>
      </c>
      <c r="BD31" s="209" t="str">
        <f>IF(31=31,IF($U31="","",SUBSTITUTE(SUBSTITUTE($AA31," "&amp;$CR$1443&amp;" "," ")," "&amp;$CR$1444&amp;" "," ")),"")</f>
        <v xml:space="preserve"> sauce soja </v>
      </c>
      <c r="BE31" s="209">
        <f>IF(31=31,IF($U31="","",SUMPRODUCT(--ISNUMBER(SEARCH(" "&amp;$CR$1445:$CR$1455&amp;" ",$BD31)))),"")</f>
        <v>0</v>
      </c>
      <c r="BF31" s="209" t="str">
        <f>IF(31=31,IF($U31="","",IF(BC31&gt;0,"X",IF(BE31&gt;0,"?",""))),"")</f>
        <v>X</v>
      </c>
      <c r="BG31" s="209">
        <f>IF(31=31,IF($U31="","",SUMPRODUCT(--ISNUMBER(SEARCH(" "&amp;$CR$1456:$CR$1555&amp;" ",$BJ31)))),"")</f>
        <v>0</v>
      </c>
      <c r="BH31" s="209">
        <f>IF(31=31,IF($U31="","",SUMPRODUCT(--ISNUMBER(SEARCH(" "&amp;$CR$1556:$CR$1655&amp;" ",$BJ31)))),"")</f>
        <v>0</v>
      </c>
      <c r="BI31" s="209">
        <f>IF(31=31,IF($U31="","",SUMPRODUCT(--ISNUMBER(SEARCH(" "&amp;$CR$1656:$CR$1739&amp;" ",$BJ31)))),"")</f>
        <v>0</v>
      </c>
      <c r="BJ31" s="209" t="str">
        <f>IF(31=31,IF($U31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31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sauce soja </v>
      </c>
      <c r="BK31" s="209">
        <f>IF(31=31,IF($U31="","",SUMPRODUCT(--ISNUMBER(SEARCH(" "&amp;$CR$1790:$CR$1869&amp;" ",$BL31)))+SUMPRODUCT(--ISNUMBER(SEARCH(" "&amp;$CR$2440:$CR$2453&amp;" ",$BL31)))),"")</f>
        <v>0</v>
      </c>
      <c r="BL31" s="209" t="str">
        <f>IF(31=31,IF($U31="","",SUBSTITUTE(SUBSTITUTE(SUBSTITUTE(SUBSTITUTE(SUBSTITUTE(SUBSTITUTE(SUBSTITUTE(SUBSTITUTE(SUBSTITUTE(SUBSTITUTE(SUBSTITUTE(SUBSTITUTE(SUBSTITUTE($BJ31,"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sauce soja </v>
      </c>
      <c r="BM31" s="209" t="str">
        <f>IF(31=31,IF($U31="","",IF(SUM(BG31:BI31)+SUMPRODUCT(--ISNUMBER(SEARCH(" "&amp;$CR$2423:$CR$2424&amp;" ",$BJ31)))&gt;0,"X",IF(BK31&gt;0,"?",""))),"")</f>
        <v/>
      </c>
      <c r="BN31" s="209">
        <f>IF(31=31,IF($U31="","",SUMPRODUCT(--ISNUMBER(SEARCH(" "&amp;$CR$1879:$CR$1936&amp;" ",$BO31)))),"")</f>
        <v>0</v>
      </c>
      <c r="BO31" s="209" t="str">
        <f>IF(31=31,IF($U31="","",SUBSTITUTE(SUBSTITUTE(SUBSTITUTE(SUBSTITUTE(SUBSTITUTE(SUBSTITUTE(SUBSTITUTE(SUBSTITUTE(SUBSTITUTE(SUBSTITUTE(SUBSTITUTE(SUBSTITUTE(SUBSTITUTE(SUBSTITUTE(SUBSTITUTE(SUBSTITUTE(SUBSTITUTE(SUBSTITUTE(SUBSTITUTE(SUBSTITUTE(SUBSTITUTE(SUBSTITUTE(SUBSTITUTE($AA31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sauce soja </v>
      </c>
      <c r="BP31" s="209">
        <f>IF(31=31,IF($U31="","",SUMPRODUCT(--ISNUMBER(SEARCH(" "&amp;$CR$1960:$CR$1976&amp;" ",$BO31)))),"")</f>
        <v>0</v>
      </c>
      <c r="BQ31" s="209" t="str">
        <f>IF(31=31,IF($U31="","",IF(BN31&gt;0,"X",IF(BP31&gt;0,"?",""))),"")</f>
        <v/>
      </c>
      <c r="BR31" s="209">
        <f>IF(31=31,IF($U31="","",SUMPRODUCT(--ISNUMBER(SEARCH(" "&amp;$CR$1977:$CR$1990&amp;" ",$AA31)))),"")</f>
        <v>0</v>
      </c>
      <c r="BS31" s="209">
        <f>IF(31=31,IF($U31="","",SUMPRODUCT(--ISNUMBER(SEARCH(" "&amp;$CR$1991:$CR$2005&amp;" ",$AA31)))),"")</f>
        <v>0</v>
      </c>
      <c r="BT31" s="209" t="str">
        <f>IF(31=31,IF($U31="","",IF((BR31)-(0)&gt;0,"X",IF((BS31)-(0)&gt;0,"?",""))),"")</f>
        <v/>
      </c>
      <c r="BU31" s="209">
        <f>IF(31=31,IF($U31="","",SUMPRODUCT(--ISNUMBER(SEARCH(" "&amp;$CR$2006:$CR$2023&amp;" ",$AA31)))),"")</f>
        <v>0</v>
      </c>
      <c r="BV31" s="209">
        <f>IF(31=31,IF($U31="","",SUMPRODUCT(--ISNUMBER(SEARCH(" "&amp;$CR$2024:$CR$2038&amp;" ",$AA31)))),"")</f>
        <v>0</v>
      </c>
      <c r="BW31" s="209" t="str">
        <f>IF(31=31,IF($U31="","",IF((BU31)-(0)&gt;0,"X",IF((BV31)-(0)&gt;0,"?",""))),"")</f>
        <v/>
      </c>
      <c r="BX31" s="209">
        <f>IF(31=31,IF($U31="","",SUMPRODUCT(--ISNUMBER(SEARCH(" "&amp;$CR$2039:$CR$2057&amp;" ",$AA31)))),"")</f>
        <v>0</v>
      </c>
      <c r="BY31" s="209">
        <f>IF(31=31,IF($U31="","",SUMPRODUCT(--ISNUMBER(SEARCH(" "&amp;$CR$2058:$CR$2072&amp;" ",$AA31)))),"")</f>
        <v>0</v>
      </c>
      <c r="BZ31" s="209" t="str">
        <f>IF(31=31,IF($U31="","",IF((BX31)-(0)&gt;0,"X",IF((BY31)-(0)&gt;0,"?",""))),"")</f>
        <v/>
      </c>
      <c r="CA31" s="209">
        <f>IF(31=31,IF($U31="","",SUMPRODUCT(--ISNUMBER(SEARCH(" "&amp;$CR$2073:$CR$2093&amp;" ",$AA31)))),"")</f>
        <v>0</v>
      </c>
      <c r="CB31" s="209">
        <f>IF(31=31,IF($U31="","",SUMPRODUCT(--ISNUMBER(SEARCH(" "&amp;$CR$2094:$CR$2133&amp;" ",SUBSTITUTE(SUBSTITUTE($AA31," "&amp;$CR$1367&amp;" "," ")," "&amp;$CR$1366&amp;" "," "))))+--ISNUMBER(SEARCH("poiré",$V31))),"")</f>
        <v>0</v>
      </c>
      <c r="CC31" s="209" t="str">
        <f>IF(31=31,IF($U31="","",IF(OR(CA31&gt;0,ISNUMBER(SEARCH(" vinaigre de vin ",$AA31)),ISNUMBER(SEARCH(" vinaigre au vin ",$AA31))),"X",IF(CB31&gt;0,"?",""))),"")</f>
        <v/>
      </c>
      <c r="CD31" s="209">
        <f>IF(31=31,IF($U31="","",SUMPRODUCT(--ISNUMBER(SEARCH(" "&amp;$CR$2134:$CR$2146&amp;" ",$AA31)))),"")</f>
        <v>0</v>
      </c>
      <c r="CE31" s="209">
        <f>IF(31=31,IF($U31="","",SUMPRODUCT(--ISNUMBER(SEARCH(" "&amp;$CR$2147:$CR$2152&amp;" ",$AA31)))),"")</f>
        <v>0</v>
      </c>
      <c r="CF31" s="209" t="str">
        <f>IF(31=31,IF($U31="","",IF((CD31)-(0)&gt;0,"X",IF((CE31)-(0)&gt;0,"?",""))),"")</f>
        <v/>
      </c>
      <c r="CG31" s="209">
        <f>IF(31=31,IF($U31="","",SUMPRODUCT(--ISNUMBER(SEARCH(" "&amp;$CR$2153:$CR$2252&amp;" ",$CJ31)))),"")</f>
        <v>0</v>
      </c>
      <c r="CH31" s="209">
        <f>IF(31=31,IF($U31="","",SUMPRODUCT(--ISNUMBER(SEARCH(" "&amp;$CR$2253:$CR$2352&amp;" ",$CJ31)))),"")</f>
        <v>0</v>
      </c>
      <c r="CI31" s="209">
        <f>IF(31=31,IF($U31="","",SUMPRODUCT(--ISNUMBER(SEARCH(" "&amp;$CR$2353:$CR$2395&amp;" ",$CJ31)))),"")</f>
        <v>0</v>
      </c>
      <c r="CJ31" s="209" t="str">
        <f>IF(31=31,IF($U31="","",SUBSTITUTE(SUBSTITUTE(SUBSTITUTE(SUBSTITUTE(SUBSTITUTE(SUBSTITUTE(SUBSTITUTE(SUBSTITUTE(SUBSTITUTE(SUBSTITUTE(SUBSTITUTE(SUBSTITUTE(SUBSTITUTE(SUBSTITUTE(SUBSTITUTE(SUBSTITUTE($AA31,"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sauce soja </v>
      </c>
      <c r="CK31" s="209">
        <f>IF(31=31,IF($U31="","",SUMPRODUCT(--ISNUMBER(SEARCH(" "&amp;$CR$2412:$CR$2416&amp;" ",$CJ31)))),"")</f>
        <v>0</v>
      </c>
      <c r="CL31" s="209" t="str">
        <f>IF(31=31,IF($U31="","",IF(SUM(CG31:CI31)&gt;0,"X",IF(CK31&gt;0,"?",""))),"")</f>
        <v/>
      </c>
      <c r="CM31" s="210"/>
      <c r="CN31" s="213" t="s">
        <v>1029</v>
      </c>
      <c r="CO31" s="213" t="s">
        <v>878</v>
      </c>
      <c r="CP31" s="213" t="s">
        <v>879</v>
      </c>
      <c r="CQ31" s="213" t="s">
        <v>1030</v>
      </c>
      <c r="CR31" s="213" t="s">
        <v>1030</v>
      </c>
      <c r="CS31" s="213" t="s">
        <v>881</v>
      </c>
      <c r="CT31" s="213" t="s">
        <v>882</v>
      </c>
      <c r="CU31" s="213" t="s">
        <v>883</v>
      </c>
      <c r="CV31" s="214" t="s">
        <v>884</v>
      </c>
      <c r="CX31" s="212">
        <v>1</v>
      </c>
    </row>
    <row r="32" spans="1:102" ht="21" customHeight="1">
      <c r="A32" s="229">
        <v>26</v>
      </c>
      <c r="B32" s="230" t="s">
        <v>6553</v>
      </c>
      <c r="C32" s="231" t="str">
        <f t="shared" si="0"/>
        <v>Vin rouge / blanc / rosé ?</v>
      </c>
      <c r="D32" s="232" t="str">
        <f>IF(32=32,IF($B32="","",IF(E32="X",""&amp;"Céréales contenant du gluten","")&amp;IF(F32="X",IF(COUNTIF($E32:$E32,"X")&gt;0,", ","")&amp;"Crustacés","")&amp;IF(G32="X",IF(COUNTIF($E32:$F32,"X")&gt;0,", ","")&amp;"Œufs","")&amp;IF(H32="X",IF(COUNTIF($E32:$G32,"X")&gt;0,", ","")&amp;"Poissons","")&amp;IF(I32="X",IF(COUNTIF($E32:$H32,"X")&gt;0,", ","")&amp;"Arachides","")&amp;IF(J32="X",IF(COUNTIF($E32:$I32,"X")&gt;0,", ","")&amp;"Soja","")&amp;IF(K32="X",IF(COUNTIF($E32:$J32,"X")&gt;0,", ","")&amp;"Lait","")&amp;IF(L32="X",IF(COUNTIF($E32:$K32,"X")&gt;0,", ","")&amp;"Fruits à coque","")&amp;IF(M32="X",IF(COUNTIF($E32:$L32,"X")&gt;0,", ","")&amp;"Céleri","")&amp;IF(N32="X",IF(COUNTIF($E32:$M32,"X")&gt;0,", ","")&amp;"Moutarde","")&amp;IF(O32="X",IF(COUNTIF($E32:$N32,"X")&gt;0,", ","")&amp;"Sésame","")&amp;IF(P32="X",IF(COUNTIF($E32:$O32,"X")&gt;0,", ","")&amp;"Sulfites","")&amp;IF(Q32="X",IF(COUNTIF($E32:$P32,"X")&gt;0,", ","")&amp;"Lupin","")&amp;IF(R32="X",IF(COUNTIF($E32:$Q32,"X")&gt;0,", ","")&amp;"Mollusques","")),"")</f>
        <v/>
      </c>
      <c r="E32" s="233" t="str">
        <f>IF(32=32,IF($B32="","",IF(OR(ISNUMBER(SEARCH(" biere sans gluten ",$AA32)),ISNUMBER(SEARCH(" gluten free beer ",$AA32)),ISNUMBER(SEARCH(" beer gluten free ",$AA32))),"",IF(AF32="X","X",IF(OR(AF32="?",OR(ISNUMBER(SEARCH(" worcestershire ",$AA32)),ISNUMBER(SEARCH(" bloody mary ",$AA32)))),"?","")))),"")</f>
        <v/>
      </c>
      <c r="F32" s="233" t="str">
        <f>IF(32=32,IF($B32="","",AI32),"")</f>
        <v/>
      </c>
      <c r="G32" s="233" t="str">
        <f>IF(32=32,IF($B32="","",IF(OR(TRIM($AA32)="puree pate d amande",TRIM($AA32)="pate puree d amande",TRIM($AA32)="puree d amande",TRIM($AA32)="pate d amande",TRIM($AA32)="pate puree de noisette",TRIM($AA32)="puree pate de noisette",TRIM($AA32)="puree de noisette",TRIM($AA32)="pate de noisette"),"",IF(OR(AM32="X",OR(ISNUMBER(SEARCH(" macaron ",$AA32)),ISNUMBER(SEARCH(" egg nog ",$AA32)),ISNUMBER(SEARCH(" eggnog ",$AA32)))),"X",IF(OR(AM32="?",OR(ISNUMBER(SEARCH(" biscuit decoratif ",$AA32)),ISNUMBER(SEARCH(" whisky sour ",$AA32)),ISNUMBER(SEARCH(" whiskey sour ",$AA32)),ISNUMBER(SEARCH(" amaretto sour ",$AA32)),ISNUMBER(SEARCH(" pisco sour ",$AA32)),ISNUMBER(SEARCH(" clover club ",$AA32)),ISNUMBER(SEARCH(" ramos gin fizz ",$AA32)))),"?","")))),"")</f>
        <v>?</v>
      </c>
      <c r="H32" s="233" t="str">
        <f>IF(32=32,IF($B32="","",IF(ISNUMBER(SEARCH(" colin ",$AA32)),"X",IF(AZ32="X","X",IF(OR(AZ32="?",OR(ISNUMBER(SEARCH(" worcestershire ",$AA32)),ISNUMBER(SEARCH(" bloody mary ",$AA32)))),"?","")))),"")</f>
        <v/>
      </c>
      <c r="I32" s="233" t="str">
        <f>IF(32=32,IF($B32="","",BB32),"")</f>
        <v/>
      </c>
      <c r="J32" s="233" t="str">
        <f>IF(32=32,IF($B32="","",BF32),"")</f>
        <v/>
      </c>
      <c r="K32" s="233" t="str">
        <f>IF(32=32,IF($B32="","",IF(OR(OR(TRIM($AA32)="puree pate d amande",TRIM($AA32)="pate puree d amande",TRIM($AA32)="puree d amande",TRIM($AA32)="pate d amande",TRIM($AA32)="pate puree de noisette",TRIM($AA32)="puree pate de noisette",TRIM($AA32)="puree de noisette",TRIM($AA32)="pate de noisette"),OR(TRIM($AA32)="beurre puree d arachide",TRIM($AA32)="beurre d arachide",TRIM($AA32)="puree d arachide"),OR(TRIM($AA32)="tahini puree de sesame",TRIM($AA32)="tahini",TRIM($AA32)="puree de sesame")),"",IF(OR(TRIM($AA32)="creme de cassis",TRIM($AA32)="creme de menthe",TRIM($AA32)="creme de cacao",TRIM($AA32)="creme de mure",TRIM($AA32)="creme de framboise",TRIM($AA32)="creme de peche",TRIM($AA32)="creme de banane",TRIM($AA32)="liqueur creme de coco",TRIM($AA32)="creme de coco",TRIM($AA32)="spiritueux aromatise arrange creme de spiritueux"),"?",IF(OR(BM32="X",OR(ISNUMBER(SEARCH(" baileys ",$AA32)),ISNUMBER(SEARCH(" irish cream ",$AA32)),ISNUMBER(SEARCH(" creme de whisky ",$AA32)))),"X",IF(OR(BM32="?",OR(OR(TRIM($AA32)="creme de cassis",TRIM($AA32)="creme de menthe",TRIM($AA32)="creme de cacao",TRIM($AA32)="creme de mure",TRIM($AA32)="creme de framboise",TRIM($AA32)="creme de peche",TRIM($AA32)="creme de banane",TRIM($AA32)="liqueur creme de coco",TRIM($AA32)="creme de coco",TRIM($AA32)="spiritueux aromatise arrange creme de spiritueux"),ISNUMBER(SEARCH(" advocaat ",$AA32)),ISNUMBER(SEARCH(" liqueur aux oeufs ",$AA32)),ISNUMBER(SEARCH(" liqueur de chocolat ",$AA32)),ISNUMBER(SEARCH(" liqueur de caramel ",$AA32)),ISNUMBER(SEARCH(" sauce nappage chocolat ",$AA32)),ISNUMBER(SEARCH(" biscuit decoratif ",$AA32)),ISNUMBER(SEARCH(" white russian ",$AA32)),ISNUMBER(SEARCH(" grasshopper ",$AA32)),ISNUMBER(SEARCH(" irish coffee ",$AA32)),ISNUMBER(SEARCH(" ramos gin fizz ",$AA32)),ISNUMBER(SEARCH(" egg nog ",$AA32)),ISNUMBER(SEARCH(" eggnog ",$AA32)))),"?",""))))),"")</f>
        <v>?</v>
      </c>
      <c r="L32" s="233" t="str">
        <f>IF(32=32,IF($B32="","",IF(OR(BQ32="X",OR(OR(TRIM($AA32)="puree pate d amande",TRIM($AA32)="pate puree d amande",TRIM($AA32)="puree d amande",TRIM($AA32)="pate d amande",TRIM($AA32)="pate puree de noisette",TRIM($AA32)="puree pate de noisette",TRIM($AA32)="puree de noisette",TRIM($AA32)="pate de noisette"),ISNUMBER(SEARCH(" macaron ",$AA32)),TRIM($AA32)="fruits a coque")),"X",IF(OR(BQ32="?",OR(ISNUMBER(SEARCH(" sirop d orgeat ",$AA32)),ISNUMBER(SEARCH(" orgeat ",$AA32)),ISNUMBER(SEARCH(" amaretto ",$AA32)))),"?",""))),"")</f>
        <v/>
      </c>
      <c r="M32" s="233" t="str">
        <f>IF(32=32,IF($B32="","",IF(OR(OR(TRIM($AA32)="puree pate d amande",TRIM($AA32)="pate puree d amande",TRIM($AA32)="puree d amande",TRIM($AA32)="pate d amande",TRIM($AA32)="pate puree de noisette",TRIM($AA32)="puree pate de noisette",TRIM($AA32)="puree de noisette",TRIM($AA32)="pate de noisette"),OR(TRIM($AA32)="tahini puree de sesame",TRIM($AA32)="tahini",TRIM($AA32)="puree de sesame")),"",IF(BT32="X","X",IF(OR(BT32="?",ISNUMBER(SEARCH(" bloody mary ",$AA32))),"?","")))),"")</f>
        <v/>
      </c>
      <c r="N32" s="233" t="str">
        <f>IF(32=32,IF($B32="","",IF(OR(OR(TRIM($AA32)="puree pate d amande",TRIM($AA32)="pate puree d amande",TRIM($AA32)="puree d amande",TRIM($AA32)="pate d amande",TRIM($AA32)="pate puree de noisette",TRIM($AA32)="puree pate de noisette",TRIM($AA32)="puree de noisette",TRIM($AA32)="pate de noisette"),OR(TRIM($AA32)="tahini puree de sesame",TRIM($AA32)="tahini",TRIM($AA32)="puree de sesame")),"",IF(BW32="X","X",IF(OR(BW32="?",ISNUMBER(SEARCH(" bloody mary ",$AA32))),"?","")))),"")</f>
        <v/>
      </c>
      <c r="O32" s="233" t="str">
        <f>IF(32=32,IF($B32="","",BZ32),"")</f>
        <v/>
      </c>
      <c r="P32" s="233" t="str">
        <f>IF(32=32,IF($B32="","",CC32),"")</f>
        <v>?</v>
      </c>
      <c r="Q32" s="233" t="str">
        <f>IF(32=32,IF($B32="","",CF32),"")</f>
        <v/>
      </c>
      <c r="R32" s="233" t="str">
        <f>IF(32=32,IF($B32="","",IF(TRIM($AA32)="fruits a coque","",IF(CL32="X","X",IF(OR(CL32="?",OR(ISNUMBER(SEARCH(" clamato ",$AA32)),ISNUMBER(SEARCH(" bloody caesar ",$AA32)))),"?","")))),"")</f>
        <v/>
      </c>
      <c r="S32" s="234" t="str">
        <f>IF(32=32,IF($B32="","",IF(E32="?",""&amp;"Céréales contenant du gluten","")&amp;IF(F32="?",IF(COUNTIF($E32:$E32,"~?")&gt;0,", ","")&amp;"Crustacés","")&amp;IF(G32="?",IF(COUNTIF($E32:$F32,"~?")&gt;0,", ","")&amp;"Œufs","")&amp;IF(H32="?",IF(COUNTIF($E32:$G32,"~?")&gt;0,", ","")&amp;"Poissons","")&amp;IF(I32="?",IF(COUNTIF($E32:$H32,"~?")&gt;0,", ","")&amp;"Arachides","")&amp;IF(J32="?",IF(COUNTIF($E32:$I32,"~?")&gt;0,", ","")&amp;"Soja","")&amp;IF(K32="?",IF(COUNTIF($E32:$J32,"~?")&gt;0,", ","")&amp;"Lait","")&amp;IF(L32="?",IF(COUNTIF($E32:$K32,"~?")&gt;0,", ","")&amp;"Fruits à coque","")&amp;IF(M32="?",IF(COUNTIF($E32:$L32,"~?")&gt;0,", ","")&amp;"Céleri","")&amp;IF(N32="?",IF(COUNTIF($E32:$M32,"~?")&gt;0,", ","")&amp;"Moutarde","")&amp;IF(O32="?",IF(COUNTIF($E32:$N32,"~?")&gt;0,", ","")&amp;"Sésame","")&amp;IF(P32="?",IF(COUNTIF($E32:$O32,"~?")&gt;0,", ","")&amp;"Sulfites","")&amp;IF(Q32="?",IF(COUNTIF($E32:$P32,"~?")&gt;0,", ","")&amp;"Lupin","")&amp;IF(R32="?",IF(COUNTIF($E32:$Q32,"~?")&gt;0,", ","")&amp;"Mollusques","")),"")</f>
        <v>Œufs, Lait, Sulfites</v>
      </c>
      <c r="U32" s="209" t="str">
        <f>IF(32=32,IF($B32="","",$B32),"")</f>
        <v>Vin rouge / blanc / rosé</v>
      </c>
      <c r="V32" s="209" t="str">
        <f>IF(32=32,LOWER(CLEAN(SUBSTITUTE(SUBSTITUTE(SUBSTITUTE(SUBSTITUTE($U32,CHAR(160)," ")," "," "),CHAR(10)," "),CHAR(13)," "))),"")</f>
        <v>vin rouge / blanc / rosé</v>
      </c>
      <c r="W32" s="209" t="str">
        <f>IF(32=32,SUBSTITUTE(SUBSTITUTE(SUBSTITUTE(SUBSTITUTE(SUBSTITUTE(SUBSTITUTE(SUBSTITUTE(SUBSTITUTE(SUBSTITUTE(SUBSTITUTE(SUBSTITUTE(SUBSTITUTE($V32,"œ","oe"),"æ","ae"),"à","a"),"á","a"),"â","a"),"ä","a"),"ã","a"),"ç","c"),"è","e"),"é","e"),"ê","e"),"ë","e"),"")</f>
        <v>vin rouge / blanc / rose</v>
      </c>
      <c r="X32" s="209" t="str">
        <f>IF(32=32,SUBSTITUTE(SUBSTITUTE(SUBSTITUTE(SUBSTITUTE(SUBSTITUTE(SUBSTITUTE(SUBSTITUTE(SUBSTITUTE(SUBSTITUTE(SUBSTITUTE(SUBSTITUTE(SUBSTITUTE(SUBSTITUTE(SUBSTITUTE(SUBSTITUTE(SUBSTITUTE($W32,"ì","i"),"í","i"),"î","i"),"ï","i"),"ñ","n"),"ò","o"),"ó","o"),"ô","o"),"ö","o"),"õ","o"),"ù","u"),"ú","u"),"û","u"),"ü","u"),"ý","y"),"ÿ","y"),"")</f>
        <v>vin rouge / blanc / rose</v>
      </c>
      <c r="Y32" s="209" t="str">
        <f>IF(32=32,SUBSTITUTE(SUBSTITUTE(SUBSTITUTE(SUBSTITUTE(SUBSTITUTE(SUBSTITUTE(SUBSTITUTE(SUBSTITUTE(SUBSTITUTE(SUBSTITUTE(SUBSTITUTE(SUBSTITUTE(SUBSTITUTE(SUBSTITUTE($X32,"’"," "),"`"," "),"–"," "),"—"," "),"-"," "),"'"," "),"/"," "),"_"," "),","," "),"."," "),"("," "),")"," "),";"," "),":"," "),"")</f>
        <v>vin rouge   blanc   rose</v>
      </c>
      <c r="Z32" s="209" t="str">
        <f>IF(32=32,SUBSTITUTE(SUBSTITUTE(SUBSTITUTE(SUBSTITUTE(SUBSTITUTE(SUBSTITUTE(SUBSTITUTE(SUBSTITUTE(SUBSTITUTE(SUBSTITUTE(SUBSTITUTE(SUBSTITUTE(SUBSTITUTE(SUBSTITUTE(SUBSTITUTE($Y32,"!"," "),"?"," "),"+"," "),"*"," "),"&amp;"," "),"["," "),"]"," "),"{"," "),"}"," "),"%"," "),"="," "),"\"," "),"|"," "),"&lt;"," "),"&gt;"," "),"")</f>
        <v>vin rouge   blanc   rose</v>
      </c>
      <c r="AA32" s="209" t="str">
        <f>IF(32=32," "&amp;TRIM(SUBSTITUTE(SUBSTITUTE(SUBSTITUTE(SUBSTITUTE(SUBSTITUTE(SUBSTITUTE($Z32,CHAR(34)," "),"  "," "),"  "," "),"  "," "),"  "," "),"  "," "))&amp;" ","")</f>
        <v xml:space="preserve"> vin rouge blanc rose </v>
      </c>
      <c r="AB32" s="209">
        <f>IF(32=32,IF($U32="","",SUMPRODUCT(--ISNUMBER(SEARCH(" "&amp;$CR$2:$CR$101&amp;" ",$AD32)))),"")</f>
        <v>0</v>
      </c>
      <c r="AC32" s="209">
        <f>IF(32=32,IF($U32="","",SUMPRODUCT(--ISNUMBER(SEARCH(" "&amp;$CR$102:$CR$151&amp;" ",$AD32)))),"")</f>
        <v>0</v>
      </c>
      <c r="AD32" s="209" t="str">
        <f t="shared" si="1"/>
        <v xml:space="preserve"> vin rouge blanc rose </v>
      </c>
      <c r="AE32" s="209">
        <f t="shared" si="2"/>
        <v>0</v>
      </c>
      <c r="AF32" s="209" t="str">
        <f>IF(32=32,IF($U32="","",IF(SUM(AB32:AC32)+SUMPRODUCT(--ISNUMBER(SEARCH(" "&amp;$CR$2418:$CR$2420&amp;" ",$AD32)))&gt;0,"X",IF(AE32&gt;0,"?",""))),"")</f>
        <v/>
      </c>
      <c r="AG32" s="209">
        <f>IF(32=32,IF($U32="","",SUMPRODUCT(--ISNUMBER(SEARCH(" "&amp;$CR$206:$CR$305&amp;" ",$AA32)))),"")</f>
        <v>0</v>
      </c>
      <c r="AH32" s="209">
        <f>IF(32=32,IF($U32="","",SUMPRODUCT(--ISNUMBER(SEARCH(" "&amp;$CR$306:$CR$340&amp;" ",$AA32)))),"")</f>
        <v>0</v>
      </c>
      <c r="AI32" s="209" t="str">
        <f>IF(32=32,IF($U32="","",IF((SUM(AG32:AH32))-(0)&gt;0,"X",IF((0)-(0)&gt;0,"?",""))),"")</f>
        <v/>
      </c>
      <c r="AJ32" s="209">
        <f>IF(32=32,IF($U32="","",SUMPRODUCT(--ISNUMBER(SEARCH(" "&amp;$CR$341:$CR$398&amp;" ",$AA32)))),"")</f>
        <v>0</v>
      </c>
      <c r="AK32" s="209">
        <f>IF(32=32,IF($U32="","",SUMPRODUCT(--ISNUMBER(SEARCH(" "&amp;$CR$399:$CR$426&amp;" ",$AL32)))+SUMPRODUCT(--ISNUMBER(SEARCH(" "&amp;$CR$2440:$CR$2453&amp;" ",$AL32)))),"")</f>
        <v>1</v>
      </c>
      <c r="AL32" s="209" t="str">
        <f>IF(32=32,IF($U32="","",SUBSTITUTE(SUBSTITUTE(SUBSTITUTE(SUBSTITUTE(SUBSTITUTE(SUBSTITUTE(SUBSTITUTE(SUBSTITUTE(SUBSTITUTE(SUBSTITUTE(SUBSTITUTE(SUBSTITUTE(SUBSTITUTE(SUBSTITUTE($AA32,"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vin rouge blanc rose </v>
      </c>
      <c r="AM32" s="209" t="str">
        <f>IF(32=32,IF($U32="","",IF(AJ32&gt;0,"X",IF(AK32&gt;0,"?",""))),"")</f>
        <v>?</v>
      </c>
      <c r="AN32" s="209">
        <f>IF(32=32,IF($U32="","",SUMPRODUCT(--ISNUMBER(SEARCH(" "&amp;$CR$436:$CR$535&amp;" ",$AX32)))),"")</f>
        <v>0</v>
      </c>
      <c r="AO32" s="209">
        <f>IF(32=32,IF($U32="","",SUMPRODUCT(--ISNUMBER(SEARCH(" "&amp;$CR$536:$CR$635&amp;" ",$AX32)))),"")</f>
        <v>0</v>
      </c>
      <c r="AP32" s="209">
        <f>IF(32=32,IF($U32="","",SUMPRODUCT(--ISNUMBER(SEARCH(" "&amp;$CR$636:$CR$735&amp;" ",$AX32)))),"")</f>
        <v>0</v>
      </c>
      <c r="AQ32" s="209">
        <f>IF(32=32,IF($U32="","",SUMPRODUCT(--ISNUMBER(SEARCH(" "&amp;$CR$736:$CR$835&amp;" ",$AX32)))),"")</f>
        <v>0</v>
      </c>
      <c r="AR32" s="209">
        <f>IF(32=32,IF($U32="","",SUMPRODUCT(--ISNUMBER(SEARCH(" "&amp;$CR$836:$CR$935&amp;" ",$AX32)))),"")</f>
        <v>0</v>
      </c>
      <c r="AS32" s="209">
        <f>IF(32=32,IF($U32="","",SUMPRODUCT(--ISNUMBER(SEARCH(" "&amp;$CR$936:$CR$1035&amp;" ",$AX32)))),"")</f>
        <v>0</v>
      </c>
      <c r="AT32" s="209">
        <f>IF(32=32,IF($U32="","",SUMPRODUCT(--ISNUMBER(SEARCH(" "&amp;$CR$1036:$CR$1135&amp;" ",$AX32)))),"")</f>
        <v>0</v>
      </c>
      <c r="AU32" s="209">
        <f>IF(32=32,IF($U32="","",SUMPRODUCT(--ISNUMBER(SEARCH(" "&amp;$CR$1136:$CR$1235&amp;" ",$AX32)))),"")</f>
        <v>0</v>
      </c>
      <c r="AV32" s="209">
        <f>IF(32=32,IF($U32="","",SUMPRODUCT(--ISNUMBER(SEARCH(" "&amp;$CR$1236:$CR$1335&amp;" ",$AX32)))),"")</f>
        <v>0</v>
      </c>
      <c r="AW32" s="209">
        <f>IF(32=32,IF($U32="","",SUMPRODUCT(--ISNUMBER(SEARCH(" "&amp;$CR$1336:$CR$1363&amp;" ",$AX32)))),"")</f>
        <v>0</v>
      </c>
      <c r="AX32" s="209" t="str">
        <f>IF(32=32,IF($U32="","",SUBSTITUTE(SUBSTITUTE(SUBSTITUTE(SUBSTITUTE(SUBSTITUTE(SUBSTITUTE(SUBSTITUTE(SUBSTITUTE(SUBSTITUTE($AA32,"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vin rouge blanc rose </v>
      </c>
      <c r="AY32" s="209">
        <f>IF(32=32,IF($U32="","",SUMPRODUCT(--ISNUMBER(SEARCH(" "&amp;$CR$1373:$CR$1383&amp;" ",$AX32)))),"")</f>
        <v>0</v>
      </c>
      <c r="AZ32" s="209" t="str">
        <f>IF(32=32,IF($U32="","",IF(SUM(AN32:AW32)+SUMPRODUCT(--ISNUMBER(SEARCH(" "&amp;$CR$2421:$CR$2422&amp;" ",$AX32)))&gt;0,"X",IF(AY32&gt;0,"?",""))),"")</f>
        <v/>
      </c>
      <c r="BA32" s="209">
        <f>IF(32=32,IF($U32="","",SUMPRODUCT(--ISNUMBER(SEARCH(" "&amp;$CR$1384:$CR$1404&amp;" ",$AA32)))),"")</f>
        <v>0</v>
      </c>
      <c r="BB32" s="209" t="str">
        <f>IF(32=32,IF($U32="","",IF((BA32)-(0)&gt;0,"X",IF((0)-(0)&gt;0,"?",""))),"")</f>
        <v/>
      </c>
      <c r="BC32" s="209">
        <f>IF(32=32,IF($U32="","",SUMPRODUCT(--ISNUMBER(SEARCH(" "&amp;$CR$1405:$CR$1442&amp;" ",$BD32)))),"")</f>
        <v>0</v>
      </c>
      <c r="BD32" s="209" t="str">
        <f>IF(32=32,IF($U32="","",SUBSTITUTE(SUBSTITUTE($AA32," "&amp;$CR$1443&amp;" "," ")," "&amp;$CR$1444&amp;" "," ")),"")</f>
        <v xml:space="preserve"> vin rouge blanc rose </v>
      </c>
      <c r="BE32" s="209">
        <f>IF(32=32,IF($U32="","",SUMPRODUCT(--ISNUMBER(SEARCH(" "&amp;$CR$1445:$CR$1455&amp;" ",$BD32)))),"")</f>
        <v>0</v>
      </c>
      <c r="BF32" s="209" t="str">
        <f>IF(32=32,IF($U32="","",IF(BC32&gt;0,"X",IF(BE32&gt;0,"?",""))),"")</f>
        <v/>
      </c>
      <c r="BG32" s="209">
        <f>IF(32=32,IF($U32="","",SUMPRODUCT(--ISNUMBER(SEARCH(" "&amp;$CR$1456:$CR$1555&amp;" ",$BJ32)))),"")</f>
        <v>0</v>
      </c>
      <c r="BH32" s="209">
        <f>IF(32=32,IF($U32="","",SUMPRODUCT(--ISNUMBER(SEARCH(" "&amp;$CR$1556:$CR$1655&amp;" ",$BJ32)))),"")</f>
        <v>0</v>
      </c>
      <c r="BI32" s="209">
        <f>IF(32=32,IF($U32="","",SUMPRODUCT(--ISNUMBER(SEARCH(" "&amp;$CR$1656:$CR$1739&amp;" ",$BJ32)))),"")</f>
        <v>0</v>
      </c>
      <c r="BJ32" s="209" t="str">
        <f>IF(32=32,IF($U32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32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vin rouge blanc rose </v>
      </c>
      <c r="BK32" s="209">
        <f>IF(32=32,IF($U32="","",SUMPRODUCT(--ISNUMBER(SEARCH(" "&amp;$CR$1790:$CR$1869&amp;" ",$BL32)))+SUMPRODUCT(--ISNUMBER(SEARCH(" "&amp;$CR$2440:$CR$2453&amp;" ",$BL32)))),"")</f>
        <v>1</v>
      </c>
      <c r="BL32" s="209" t="str">
        <f>IF(32=32,IF($U32="","",SUBSTITUTE(SUBSTITUTE(SUBSTITUTE(SUBSTITUTE(SUBSTITUTE(SUBSTITUTE(SUBSTITUTE(SUBSTITUTE(SUBSTITUTE(SUBSTITUTE(SUBSTITUTE(SUBSTITUTE(SUBSTITUTE($BJ32,"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vin rouge blanc rose </v>
      </c>
      <c r="BM32" s="209" t="str">
        <f>IF(32=32,IF($U32="","",IF(SUM(BG32:BI32)+SUMPRODUCT(--ISNUMBER(SEARCH(" "&amp;$CR$2423:$CR$2424&amp;" ",$BJ32)))&gt;0,"X",IF(BK32&gt;0,"?",""))),"")</f>
        <v>?</v>
      </c>
      <c r="BN32" s="209">
        <f>IF(32=32,IF($U32="","",SUMPRODUCT(--ISNUMBER(SEARCH(" "&amp;$CR$1879:$CR$1936&amp;" ",$BO32)))),"")</f>
        <v>0</v>
      </c>
      <c r="BO32" s="209" t="str">
        <f>IF(32=32,IF($U32="","",SUBSTITUTE(SUBSTITUTE(SUBSTITUTE(SUBSTITUTE(SUBSTITUTE(SUBSTITUTE(SUBSTITUTE(SUBSTITUTE(SUBSTITUTE(SUBSTITUTE(SUBSTITUTE(SUBSTITUTE(SUBSTITUTE(SUBSTITUTE(SUBSTITUTE(SUBSTITUTE(SUBSTITUTE(SUBSTITUTE(SUBSTITUTE(SUBSTITUTE(SUBSTITUTE(SUBSTITUTE(SUBSTITUTE($AA32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vin rouge blanc rose </v>
      </c>
      <c r="BP32" s="209">
        <f>IF(32=32,IF($U32="","",SUMPRODUCT(--ISNUMBER(SEARCH(" "&amp;$CR$1960:$CR$1976&amp;" ",$BO32)))),"")</f>
        <v>0</v>
      </c>
      <c r="BQ32" s="209" t="str">
        <f>IF(32=32,IF($U32="","",IF(BN32&gt;0,"X",IF(BP32&gt;0,"?",""))),"")</f>
        <v/>
      </c>
      <c r="BR32" s="209">
        <f>IF(32=32,IF($U32="","",SUMPRODUCT(--ISNUMBER(SEARCH(" "&amp;$CR$1977:$CR$1990&amp;" ",$AA32)))),"")</f>
        <v>0</v>
      </c>
      <c r="BS32" s="209">
        <f>IF(32=32,IF($U32="","",SUMPRODUCT(--ISNUMBER(SEARCH(" "&amp;$CR$1991:$CR$2005&amp;" ",$AA32)))),"")</f>
        <v>0</v>
      </c>
      <c r="BT32" s="209" t="str">
        <f>IF(32=32,IF($U32="","",IF((BR32)-(0)&gt;0,"X",IF((BS32)-(0)&gt;0,"?",""))),"")</f>
        <v/>
      </c>
      <c r="BU32" s="209">
        <f>IF(32=32,IF($U32="","",SUMPRODUCT(--ISNUMBER(SEARCH(" "&amp;$CR$2006:$CR$2023&amp;" ",$AA32)))),"")</f>
        <v>0</v>
      </c>
      <c r="BV32" s="209">
        <f>IF(32=32,IF($U32="","",SUMPRODUCT(--ISNUMBER(SEARCH(" "&amp;$CR$2024:$CR$2038&amp;" ",$AA32)))),"")</f>
        <v>0</v>
      </c>
      <c r="BW32" s="209" t="str">
        <f>IF(32=32,IF($U32="","",IF((BU32)-(0)&gt;0,"X",IF((BV32)-(0)&gt;0,"?",""))),"")</f>
        <v/>
      </c>
      <c r="BX32" s="209">
        <f>IF(32=32,IF($U32="","",SUMPRODUCT(--ISNUMBER(SEARCH(" "&amp;$CR$2039:$CR$2057&amp;" ",$AA32)))),"")</f>
        <v>0</v>
      </c>
      <c r="BY32" s="209">
        <f>IF(32=32,IF($U32="","",SUMPRODUCT(--ISNUMBER(SEARCH(" "&amp;$CR$2058:$CR$2072&amp;" ",$AA32)))),"")</f>
        <v>0</v>
      </c>
      <c r="BZ32" s="209" t="str">
        <f>IF(32=32,IF($U32="","",IF((BX32)-(0)&gt;0,"X",IF((BY32)-(0)&gt;0,"?",""))),"")</f>
        <v/>
      </c>
      <c r="CA32" s="209">
        <f>IF(32=32,IF($U32="","",SUMPRODUCT(--ISNUMBER(SEARCH(" "&amp;$CR$2073:$CR$2093&amp;" ",$AA32)))),"")</f>
        <v>0</v>
      </c>
      <c r="CB32" s="209">
        <f>IF(32=32,IF($U32="","",SUMPRODUCT(--ISNUMBER(SEARCH(" "&amp;$CR$2094:$CR$2133&amp;" ",SUBSTITUTE(SUBSTITUTE($AA32," "&amp;$CR$1367&amp;" "," ")," "&amp;$CR$1366&amp;" "," "))))+--ISNUMBER(SEARCH("poiré",$V32))),"")</f>
        <v>2</v>
      </c>
      <c r="CC32" s="209" t="str">
        <f>IF(32=32,IF($U32="","",IF(OR(CA32&gt;0,ISNUMBER(SEARCH(" vinaigre de vin ",$AA32)),ISNUMBER(SEARCH(" vinaigre au vin ",$AA32))),"X",IF(CB32&gt;0,"?",""))),"")</f>
        <v>?</v>
      </c>
      <c r="CD32" s="209">
        <f>IF(32=32,IF($U32="","",SUMPRODUCT(--ISNUMBER(SEARCH(" "&amp;$CR$2134:$CR$2146&amp;" ",$AA32)))),"")</f>
        <v>0</v>
      </c>
      <c r="CE32" s="209">
        <f>IF(32=32,IF($U32="","",SUMPRODUCT(--ISNUMBER(SEARCH(" "&amp;$CR$2147:$CR$2152&amp;" ",$AA32)))),"")</f>
        <v>0</v>
      </c>
      <c r="CF32" s="209" t="str">
        <f>IF(32=32,IF($U32="","",IF((CD32)-(0)&gt;0,"X",IF((CE32)-(0)&gt;0,"?",""))),"")</f>
        <v/>
      </c>
      <c r="CG32" s="209">
        <f>IF(32=32,IF($U32="","",SUMPRODUCT(--ISNUMBER(SEARCH(" "&amp;$CR$2153:$CR$2252&amp;" ",$CJ32)))),"")</f>
        <v>0</v>
      </c>
      <c r="CH32" s="209">
        <f>IF(32=32,IF($U32="","",SUMPRODUCT(--ISNUMBER(SEARCH(" "&amp;$CR$2253:$CR$2352&amp;" ",$CJ32)))),"")</f>
        <v>0</v>
      </c>
      <c r="CI32" s="209">
        <f>IF(32=32,IF($U32="","",SUMPRODUCT(--ISNUMBER(SEARCH(" "&amp;$CR$2353:$CR$2395&amp;" ",$CJ32)))),"")</f>
        <v>0</v>
      </c>
      <c r="CJ32" s="209" t="str">
        <f>IF(32=32,IF($U32="","",SUBSTITUTE(SUBSTITUTE(SUBSTITUTE(SUBSTITUTE(SUBSTITUTE(SUBSTITUTE(SUBSTITUTE(SUBSTITUTE(SUBSTITUTE(SUBSTITUTE(SUBSTITUTE(SUBSTITUTE(SUBSTITUTE(SUBSTITUTE(SUBSTITUTE(SUBSTITUTE($AA32,"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vin rouge blanc rose </v>
      </c>
      <c r="CK32" s="209">
        <f>IF(32=32,IF($U32="","",SUMPRODUCT(--ISNUMBER(SEARCH(" "&amp;$CR$2412:$CR$2416&amp;" ",$CJ32)))),"")</f>
        <v>0</v>
      </c>
      <c r="CL32" s="209" t="str">
        <f>IF(32=32,IF($U32="","",IF(SUM(CG32:CI32)&gt;0,"X",IF(CK32&gt;0,"?",""))),"")</f>
        <v/>
      </c>
      <c r="CM32" s="210"/>
      <c r="CN32" s="213" t="s">
        <v>1031</v>
      </c>
      <c r="CO32" s="213" t="s">
        <v>878</v>
      </c>
      <c r="CP32" s="213" t="s">
        <v>879</v>
      </c>
      <c r="CQ32" s="213" t="s">
        <v>1032</v>
      </c>
      <c r="CR32" s="213" t="s">
        <v>1032</v>
      </c>
      <c r="CS32" s="213" t="s">
        <v>881</v>
      </c>
      <c r="CT32" s="213" t="s">
        <v>882</v>
      </c>
      <c r="CU32" s="213" t="s">
        <v>883</v>
      </c>
      <c r="CV32" s="214" t="s">
        <v>884</v>
      </c>
      <c r="CX32" s="212">
        <v>1</v>
      </c>
    </row>
    <row r="33" spans="1:102" ht="21" customHeight="1">
      <c r="A33" s="229">
        <v>27</v>
      </c>
      <c r="B33" s="230" t="s">
        <v>6560</v>
      </c>
      <c r="C33" s="231" t="str">
        <f t="shared" si="0"/>
        <v>Champagne / vin effervescent ?</v>
      </c>
      <c r="D33" s="232" t="str">
        <f>IF(33=33,IF($B33="","",IF(E33="X",""&amp;"Céréales contenant du gluten","")&amp;IF(F33="X",IF(COUNTIF($E33:$E33,"X")&gt;0,", ","")&amp;"Crustacés","")&amp;IF(G33="X",IF(COUNTIF($E33:$F33,"X")&gt;0,", ","")&amp;"Œufs","")&amp;IF(H33="X",IF(COUNTIF($E33:$G33,"X")&gt;0,", ","")&amp;"Poissons","")&amp;IF(I33="X",IF(COUNTIF($E33:$H33,"X")&gt;0,", ","")&amp;"Arachides","")&amp;IF(J33="X",IF(COUNTIF($E33:$I33,"X")&gt;0,", ","")&amp;"Soja","")&amp;IF(K33="X",IF(COUNTIF($E33:$J33,"X")&gt;0,", ","")&amp;"Lait","")&amp;IF(L33="X",IF(COUNTIF($E33:$K33,"X")&gt;0,", ","")&amp;"Fruits à coque","")&amp;IF(M33="X",IF(COUNTIF($E33:$L33,"X")&gt;0,", ","")&amp;"Céleri","")&amp;IF(N33="X",IF(COUNTIF($E33:$M33,"X")&gt;0,", ","")&amp;"Moutarde","")&amp;IF(O33="X",IF(COUNTIF($E33:$N33,"X")&gt;0,", ","")&amp;"Sésame","")&amp;IF(P33="X",IF(COUNTIF($E33:$O33,"X")&gt;0,", ","")&amp;"Sulfites","")&amp;IF(Q33="X",IF(COUNTIF($E33:$P33,"X")&gt;0,", ","")&amp;"Lupin","")&amp;IF(R33="X",IF(COUNTIF($E33:$Q33,"X")&gt;0,", ","")&amp;"Mollusques","")),"")</f>
        <v/>
      </c>
      <c r="E33" s="233" t="str">
        <f>IF(33=33,IF($B33="","",IF(OR(ISNUMBER(SEARCH(" biere sans gluten ",$AA33)),ISNUMBER(SEARCH(" gluten free beer ",$AA33)),ISNUMBER(SEARCH(" beer gluten free ",$AA33))),"",IF(AF33="X","X",IF(OR(AF33="?",OR(ISNUMBER(SEARCH(" worcestershire ",$AA33)),ISNUMBER(SEARCH(" bloody mary ",$AA33)))),"?","")))),"")</f>
        <v/>
      </c>
      <c r="F33" s="233" t="str">
        <f>IF(33=33,IF($B33="","",AI33),"")</f>
        <v/>
      </c>
      <c r="G33" s="233" t="str">
        <f>IF(33=33,IF($B33="","",IF(OR(TRIM($AA33)="puree pate d amande",TRIM($AA33)="pate puree d amande",TRIM($AA33)="puree d amande",TRIM($AA33)="pate d amande",TRIM($AA33)="pate puree de noisette",TRIM($AA33)="puree pate de noisette",TRIM($AA33)="puree de noisette",TRIM($AA33)="pate de noisette"),"",IF(OR(AM33="X",OR(ISNUMBER(SEARCH(" macaron ",$AA33)),ISNUMBER(SEARCH(" egg nog ",$AA33)),ISNUMBER(SEARCH(" eggnog ",$AA33)))),"X",IF(OR(AM33="?",OR(ISNUMBER(SEARCH(" biscuit decoratif ",$AA33)),ISNUMBER(SEARCH(" whisky sour ",$AA33)),ISNUMBER(SEARCH(" whiskey sour ",$AA33)),ISNUMBER(SEARCH(" amaretto sour ",$AA33)),ISNUMBER(SEARCH(" pisco sour ",$AA33)),ISNUMBER(SEARCH(" clover club ",$AA33)),ISNUMBER(SEARCH(" ramos gin fizz ",$AA33)))),"?","")))),"")</f>
        <v>?</v>
      </c>
      <c r="H33" s="233" t="str">
        <f>IF(33=33,IF($B33="","",IF(ISNUMBER(SEARCH(" colin ",$AA33)),"X",IF(AZ33="X","X",IF(OR(AZ33="?",OR(ISNUMBER(SEARCH(" worcestershire ",$AA33)),ISNUMBER(SEARCH(" bloody mary ",$AA33)))),"?","")))),"")</f>
        <v/>
      </c>
      <c r="I33" s="233" t="str">
        <f>IF(33=33,IF($B33="","",BB33),"")</f>
        <v/>
      </c>
      <c r="J33" s="233" t="str">
        <f>IF(33=33,IF($B33="","",BF33),"")</f>
        <v/>
      </c>
      <c r="K33" s="233" t="str">
        <f>IF(33=33,IF($B33="","",IF(OR(OR(TRIM($AA33)="puree pate d amande",TRIM($AA33)="pate puree d amande",TRIM($AA33)="puree d amande",TRIM($AA33)="pate d amande",TRIM($AA33)="pate puree de noisette",TRIM($AA33)="puree pate de noisette",TRIM($AA33)="puree de noisette",TRIM($AA33)="pate de noisette"),OR(TRIM($AA33)="beurre puree d arachide",TRIM($AA33)="beurre d arachide",TRIM($AA33)="puree d arachide"),OR(TRIM($AA33)="tahini puree de sesame",TRIM($AA33)="tahini",TRIM($AA33)="puree de sesame")),"",IF(OR(TRIM($AA33)="creme de cassis",TRIM($AA33)="creme de menthe",TRIM($AA33)="creme de cacao",TRIM($AA33)="creme de mure",TRIM($AA33)="creme de framboise",TRIM($AA33)="creme de peche",TRIM($AA33)="creme de banane",TRIM($AA33)="liqueur creme de coco",TRIM($AA33)="creme de coco",TRIM($AA33)="spiritueux aromatise arrange creme de spiritueux"),"?",IF(OR(BM33="X",OR(ISNUMBER(SEARCH(" baileys ",$AA33)),ISNUMBER(SEARCH(" irish cream ",$AA33)),ISNUMBER(SEARCH(" creme de whisky ",$AA33)))),"X",IF(OR(BM33="?",OR(OR(TRIM($AA33)="creme de cassis",TRIM($AA33)="creme de menthe",TRIM($AA33)="creme de cacao",TRIM($AA33)="creme de mure",TRIM($AA33)="creme de framboise",TRIM($AA33)="creme de peche",TRIM($AA33)="creme de banane",TRIM($AA33)="liqueur creme de coco",TRIM($AA33)="creme de coco",TRIM($AA33)="spiritueux aromatise arrange creme de spiritueux"),ISNUMBER(SEARCH(" advocaat ",$AA33)),ISNUMBER(SEARCH(" liqueur aux oeufs ",$AA33)),ISNUMBER(SEARCH(" liqueur de chocolat ",$AA33)),ISNUMBER(SEARCH(" liqueur de caramel ",$AA33)),ISNUMBER(SEARCH(" sauce nappage chocolat ",$AA33)),ISNUMBER(SEARCH(" biscuit decoratif ",$AA33)),ISNUMBER(SEARCH(" white russian ",$AA33)),ISNUMBER(SEARCH(" grasshopper ",$AA33)),ISNUMBER(SEARCH(" irish coffee ",$AA33)),ISNUMBER(SEARCH(" ramos gin fizz ",$AA33)),ISNUMBER(SEARCH(" egg nog ",$AA33)),ISNUMBER(SEARCH(" eggnog ",$AA33)))),"?",""))))),"")</f>
        <v>?</v>
      </c>
      <c r="L33" s="233" t="str">
        <f>IF(33=33,IF($B33="","",IF(OR(BQ33="X",OR(OR(TRIM($AA33)="puree pate d amande",TRIM($AA33)="pate puree d amande",TRIM($AA33)="puree d amande",TRIM($AA33)="pate d amande",TRIM($AA33)="pate puree de noisette",TRIM($AA33)="puree pate de noisette",TRIM($AA33)="puree de noisette",TRIM($AA33)="pate de noisette"),ISNUMBER(SEARCH(" macaron ",$AA33)),TRIM($AA33)="fruits a coque")),"X",IF(OR(BQ33="?",OR(ISNUMBER(SEARCH(" sirop d orgeat ",$AA33)),ISNUMBER(SEARCH(" orgeat ",$AA33)),ISNUMBER(SEARCH(" amaretto ",$AA33)))),"?",""))),"")</f>
        <v/>
      </c>
      <c r="M33" s="233" t="str">
        <f>IF(33=33,IF($B33="","",IF(OR(OR(TRIM($AA33)="puree pate d amande",TRIM($AA33)="pate puree d amande",TRIM($AA33)="puree d amande",TRIM($AA33)="pate d amande",TRIM($AA33)="pate puree de noisette",TRIM($AA33)="puree pate de noisette",TRIM($AA33)="puree de noisette",TRIM($AA33)="pate de noisette"),OR(TRIM($AA33)="tahini puree de sesame",TRIM($AA33)="tahini",TRIM($AA33)="puree de sesame")),"",IF(BT33="X","X",IF(OR(BT33="?",ISNUMBER(SEARCH(" bloody mary ",$AA33))),"?","")))),"")</f>
        <v/>
      </c>
      <c r="N33" s="233" t="str">
        <f>IF(33=33,IF($B33="","",IF(OR(OR(TRIM($AA33)="puree pate d amande",TRIM($AA33)="pate puree d amande",TRIM($AA33)="puree d amande",TRIM($AA33)="pate d amande",TRIM($AA33)="pate puree de noisette",TRIM($AA33)="puree pate de noisette",TRIM($AA33)="puree de noisette",TRIM($AA33)="pate de noisette"),OR(TRIM($AA33)="tahini puree de sesame",TRIM($AA33)="tahini",TRIM($AA33)="puree de sesame")),"",IF(BW33="X","X",IF(OR(BW33="?",ISNUMBER(SEARCH(" bloody mary ",$AA33))),"?","")))),"")</f>
        <v/>
      </c>
      <c r="O33" s="233" t="str">
        <f>IF(33=33,IF($B33="","",BZ33),"")</f>
        <v/>
      </c>
      <c r="P33" s="233" t="str">
        <f>IF(33=33,IF($B33="","",CC33),"")</f>
        <v>?</v>
      </c>
      <c r="Q33" s="233" t="str">
        <f>IF(33=33,IF($B33="","",CF33),"")</f>
        <v/>
      </c>
      <c r="R33" s="233" t="str">
        <f>IF(33=33,IF($B33="","",IF(TRIM($AA33)="fruits a coque","",IF(CL33="X","X",IF(OR(CL33="?",OR(ISNUMBER(SEARCH(" clamato ",$AA33)),ISNUMBER(SEARCH(" bloody caesar ",$AA33)))),"?","")))),"")</f>
        <v/>
      </c>
      <c r="S33" s="234" t="str">
        <f>IF(33=33,IF($B33="","",IF(E33="?",""&amp;"Céréales contenant du gluten","")&amp;IF(F33="?",IF(COUNTIF($E33:$E33,"~?")&gt;0,", ","")&amp;"Crustacés","")&amp;IF(G33="?",IF(COUNTIF($E33:$F33,"~?")&gt;0,", ","")&amp;"Œufs","")&amp;IF(H33="?",IF(COUNTIF($E33:$G33,"~?")&gt;0,", ","")&amp;"Poissons","")&amp;IF(I33="?",IF(COUNTIF($E33:$H33,"~?")&gt;0,", ","")&amp;"Arachides","")&amp;IF(J33="?",IF(COUNTIF($E33:$I33,"~?")&gt;0,", ","")&amp;"Soja","")&amp;IF(K33="?",IF(COUNTIF($E33:$J33,"~?")&gt;0,", ","")&amp;"Lait","")&amp;IF(L33="?",IF(COUNTIF($E33:$K33,"~?")&gt;0,", ","")&amp;"Fruits à coque","")&amp;IF(M33="?",IF(COUNTIF($E33:$L33,"~?")&gt;0,", ","")&amp;"Céleri","")&amp;IF(N33="?",IF(COUNTIF($E33:$M33,"~?")&gt;0,", ","")&amp;"Moutarde","")&amp;IF(O33="?",IF(COUNTIF($E33:$N33,"~?")&gt;0,", ","")&amp;"Sésame","")&amp;IF(P33="?",IF(COUNTIF($E33:$O33,"~?")&gt;0,", ","")&amp;"Sulfites","")&amp;IF(Q33="?",IF(COUNTIF($E33:$P33,"~?")&gt;0,", ","")&amp;"Lupin","")&amp;IF(R33="?",IF(COUNTIF($E33:$Q33,"~?")&gt;0,", ","")&amp;"Mollusques","")),"")</f>
        <v>Œufs, Lait, Sulfites</v>
      </c>
      <c r="U33" s="209" t="str">
        <f>IF(33=33,IF($B33="","",$B33),"")</f>
        <v>Champagne / vin effervescent</v>
      </c>
      <c r="V33" s="209" t="str">
        <f>IF(33=33,LOWER(CLEAN(SUBSTITUTE(SUBSTITUTE(SUBSTITUTE(SUBSTITUTE($U33,CHAR(160)," ")," "," "),CHAR(10)," "),CHAR(13)," "))),"")</f>
        <v>champagne / vin effervescent</v>
      </c>
      <c r="W33" s="209" t="str">
        <f>IF(33=33,SUBSTITUTE(SUBSTITUTE(SUBSTITUTE(SUBSTITUTE(SUBSTITUTE(SUBSTITUTE(SUBSTITUTE(SUBSTITUTE(SUBSTITUTE(SUBSTITUTE(SUBSTITUTE(SUBSTITUTE($V33,"œ","oe"),"æ","ae"),"à","a"),"á","a"),"â","a"),"ä","a"),"ã","a"),"ç","c"),"è","e"),"é","e"),"ê","e"),"ë","e"),"")</f>
        <v>champagne / vin effervescent</v>
      </c>
      <c r="X33" s="209" t="str">
        <f>IF(33=33,SUBSTITUTE(SUBSTITUTE(SUBSTITUTE(SUBSTITUTE(SUBSTITUTE(SUBSTITUTE(SUBSTITUTE(SUBSTITUTE(SUBSTITUTE(SUBSTITUTE(SUBSTITUTE(SUBSTITUTE(SUBSTITUTE(SUBSTITUTE(SUBSTITUTE(SUBSTITUTE($W33,"ì","i"),"í","i"),"î","i"),"ï","i"),"ñ","n"),"ò","o"),"ó","o"),"ô","o"),"ö","o"),"õ","o"),"ù","u"),"ú","u"),"û","u"),"ü","u"),"ý","y"),"ÿ","y"),"")</f>
        <v>champagne / vin effervescent</v>
      </c>
      <c r="Y33" s="209" t="str">
        <f>IF(33=33,SUBSTITUTE(SUBSTITUTE(SUBSTITUTE(SUBSTITUTE(SUBSTITUTE(SUBSTITUTE(SUBSTITUTE(SUBSTITUTE(SUBSTITUTE(SUBSTITUTE(SUBSTITUTE(SUBSTITUTE(SUBSTITUTE(SUBSTITUTE($X33,"’"," "),"`"," "),"–"," "),"—"," "),"-"," "),"'"," "),"/"," "),"_"," "),","," "),"."," "),"("," "),")"," "),";"," "),":"," "),"")</f>
        <v>champagne   vin effervescent</v>
      </c>
      <c r="Z33" s="209" t="str">
        <f>IF(33=33,SUBSTITUTE(SUBSTITUTE(SUBSTITUTE(SUBSTITUTE(SUBSTITUTE(SUBSTITUTE(SUBSTITUTE(SUBSTITUTE(SUBSTITUTE(SUBSTITUTE(SUBSTITUTE(SUBSTITUTE(SUBSTITUTE(SUBSTITUTE(SUBSTITUTE($Y33,"!"," "),"?"," "),"+"," "),"*"," "),"&amp;"," "),"["," "),"]"," "),"{"," "),"}"," "),"%"," "),"="," "),"\"," "),"|"," "),"&lt;"," "),"&gt;"," "),"")</f>
        <v>champagne   vin effervescent</v>
      </c>
      <c r="AA33" s="209" t="str">
        <f>IF(33=33," "&amp;TRIM(SUBSTITUTE(SUBSTITUTE(SUBSTITUTE(SUBSTITUTE(SUBSTITUTE(SUBSTITUTE($Z33,CHAR(34)," "),"  "," "),"  "," "),"  "," "),"  "," "),"  "," "))&amp;" ","")</f>
        <v xml:space="preserve"> champagne vin effervescent </v>
      </c>
      <c r="AB33" s="209">
        <f>IF(33=33,IF($U33="","",SUMPRODUCT(--ISNUMBER(SEARCH(" "&amp;$CR$2:$CR$101&amp;" ",$AD33)))),"")</f>
        <v>0</v>
      </c>
      <c r="AC33" s="209">
        <f>IF(33=33,IF($U33="","",SUMPRODUCT(--ISNUMBER(SEARCH(" "&amp;$CR$102:$CR$151&amp;" ",$AD33)))),"")</f>
        <v>0</v>
      </c>
      <c r="AD33" s="209" t="str">
        <f t="shared" si="1"/>
        <v xml:space="preserve"> champagne vin effervescent </v>
      </c>
      <c r="AE33" s="209">
        <f t="shared" si="2"/>
        <v>0</v>
      </c>
      <c r="AF33" s="209" t="str">
        <f>IF(33=33,IF($U33="","",IF(SUM(AB33:AC33)+SUMPRODUCT(--ISNUMBER(SEARCH(" "&amp;$CR$2418:$CR$2420&amp;" ",$AD33)))&gt;0,"X",IF(AE33&gt;0,"?",""))),"")</f>
        <v/>
      </c>
      <c r="AG33" s="209">
        <f>IF(33=33,IF($U33="","",SUMPRODUCT(--ISNUMBER(SEARCH(" "&amp;$CR$206:$CR$305&amp;" ",$AA33)))),"")</f>
        <v>0</v>
      </c>
      <c r="AH33" s="209">
        <f>IF(33=33,IF($U33="","",SUMPRODUCT(--ISNUMBER(SEARCH(" "&amp;$CR$306:$CR$340&amp;" ",$AA33)))),"")</f>
        <v>0</v>
      </c>
      <c r="AI33" s="209" t="str">
        <f>IF(33=33,IF($U33="","",IF((SUM(AG33:AH33))-(0)&gt;0,"X",IF((0)-(0)&gt;0,"?",""))),"")</f>
        <v/>
      </c>
      <c r="AJ33" s="209">
        <f>IF(33=33,IF($U33="","",SUMPRODUCT(--ISNUMBER(SEARCH(" "&amp;$CR$341:$CR$398&amp;" ",$AA33)))),"")</f>
        <v>0</v>
      </c>
      <c r="AK33" s="209">
        <f>IF(33=33,IF($U33="","",SUMPRODUCT(--ISNUMBER(SEARCH(" "&amp;$CR$399:$CR$426&amp;" ",$AL33)))+SUMPRODUCT(--ISNUMBER(SEARCH(" "&amp;$CR$2440:$CR$2453&amp;" ",$AL33)))),"")</f>
        <v>2</v>
      </c>
      <c r="AL33" s="209" t="str">
        <f>IF(33=33,IF($U33="","",SUBSTITUTE(SUBSTITUTE(SUBSTITUTE(SUBSTITUTE(SUBSTITUTE(SUBSTITUTE(SUBSTITUTE(SUBSTITUTE(SUBSTITUTE(SUBSTITUTE(SUBSTITUTE(SUBSTITUTE(SUBSTITUTE(SUBSTITUTE($AA33,"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champagne vin effervescent </v>
      </c>
      <c r="AM33" s="209" t="str">
        <f>IF(33=33,IF($U33="","",IF(AJ33&gt;0,"X",IF(AK33&gt;0,"?",""))),"")</f>
        <v>?</v>
      </c>
      <c r="AN33" s="209">
        <f>IF(33=33,IF($U33="","",SUMPRODUCT(--ISNUMBER(SEARCH(" "&amp;$CR$436:$CR$535&amp;" ",$AX33)))),"")</f>
        <v>0</v>
      </c>
      <c r="AO33" s="209">
        <f>IF(33=33,IF($U33="","",SUMPRODUCT(--ISNUMBER(SEARCH(" "&amp;$CR$536:$CR$635&amp;" ",$AX33)))),"")</f>
        <v>0</v>
      </c>
      <c r="AP33" s="209">
        <f>IF(33=33,IF($U33="","",SUMPRODUCT(--ISNUMBER(SEARCH(" "&amp;$CR$636:$CR$735&amp;" ",$AX33)))),"")</f>
        <v>0</v>
      </c>
      <c r="AQ33" s="209">
        <f>IF(33=33,IF($U33="","",SUMPRODUCT(--ISNUMBER(SEARCH(" "&amp;$CR$736:$CR$835&amp;" ",$AX33)))),"")</f>
        <v>0</v>
      </c>
      <c r="AR33" s="209">
        <f>IF(33=33,IF($U33="","",SUMPRODUCT(--ISNUMBER(SEARCH(" "&amp;$CR$836:$CR$935&amp;" ",$AX33)))),"")</f>
        <v>0</v>
      </c>
      <c r="AS33" s="209">
        <f>IF(33=33,IF($U33="","",SUMPRODUCT(--ISNUMBER(SEARCH(" "&amp;$CR$936:$CR$1035&amp;" ",$AX33)))),"")</f>
        <v>0</v>
      </c>
      <c r="AT33" s="209">
        <f>IF(33=33,IF($U33="","",SUMPRODUCT(--ISNUMBER(SEARCH(" "&amp;$CR$1036:$CR$1135&amp;" ",$AX33)))),"")</f>
        <v>0</v>
      </c>
      <c r="AU33" s="209">
        <f>IF(33=33,IF($U33="","",SUMPRODUCT(--ISNUMBER(SEARCH(" "&amp;$CR$1136:$CR$1235&amp;" ",$AX33)))),"")</f>
        <v>0</v>
      </c>
      <c r="AV33" s="209">
        <f>IF(33=33,IF($U33="","",SUMPRODUCT(--ISNUMBER(SEARCH(" "&amp;$CR$1236:$CR$1335&amp;" ",$AX33)))),"")</f>
        <v>0</v>
      </c>
      <c r="AW33" s="209">
        <f>IF(33=33,IF($U33="","",SUMPRODUCT(--ISNUMBER(SEARCH(" "&amp;$CR$1336:$CR$1363&amp;" ",$AX33)))),"")</f>
        <v>0</v>
      </c>
      <c r="AX33" s="209" t="str">
        <f>IF(33=33,IF($U33="","",SUBSTITUTE(SUBSTITUTE(SUBSTITUTE(SUBSTITUTE(SUBSTITUTE(SUBSTITUTE(SUBSTITUTE(SUBSTITUTE(SUBSTITUTE($AA33,"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champagne vin effervescent </v>
      </c>
      <c r="AY33" s="209">
        <f>IF(33=33,IF($U33="","",SUMPRODUCT(--ISNUMBER(SEARCH(" "&amp;$CR$1373:$CR$1383&amp;" ",$AX33)))),"")</f>
        <v>0</v>
      </c>
      <c r="AZ33" s="209" t="str">
        <f>IF(33=33,IF($U33="","",IF(SUM(AN33:AW33)+SUMPRODUCT(--ISNUMBER(SEARCH(" "&amp;$CR$2421:$CR$2422&amp;" ",$AX33)))&gt;0,"X",IF(AY33&gt;0,"?",""))),"")</f>
        <v/>
      </c>
      <c r="BA33" s="209">
        <f>IF(33=33,IF($U33="","",SUMPRODUCT(--ISNUMBER(SEARCH(" "&amp;$CR$1384:$CR$1404&amp;" ",$AA33)))),"")</f>
        <v>0</v>
      </c>
      <c r="BB33" s="209" t="str">
        <f>IF(33=33,IF($U33="","",IF((BA33)-(0)&gt;0,"X",IF((0)-(0)&gt;0,"?",""))),"")</f>
        <v/>
      </c>
      <c r="BC33" s="209">
        <f>IF(33=33,IF($U33="","",SUMPRODUCT(--ISNUMBER(SEARCH(" "&amp;$CR$1405:$CR$1442&amp;" ",$BD33)))),"")</f>
        <v>0</v>
      </c>
      <c r="BD33" s="209" t="str">
        <f>IF(33=33,IF($U33="","",SUBSTITUTE(SUBSTITUTE($AA33," "&amp;$CR$1443&amp;" "," ")," "&amp;$CR$1444&amp;" "," ")),"")</f>
        <v xml:space="preserve"> champagne vin effervescent </v>
      </c>
      <c r="BE33" s="209">
        <f>IF(33=33,IF($U33="","",SUMPRODUCT(--ISNUMBER(SEARCH(" "&amp;$CR$1445:$CR$1455&amp;" ",$BD33)))),"")</f>
        <v>0</v>
      </c>
      <c r="BF33" s="209" t="str">
        <f>IF(33=33,IF($U33="","",IF(BC33&gt;0,"X",IF(BE33&gt;0,"?",""))),"")</f>
        <v/>
      </c>
      <c r="BG33" s="209">
        <f>IF(33=33,IF($U33="","",SUMPRODUCT(--ISNUMBER(SEARCH(" "&amp;$CR$1456:$CR$1555&amp;" ",$BJ33)))),"")</f>
        <v>0</v>
      </c>
      <c r="BH33" s="209">
        <f>IF(33=33,IF($U33="","",SUMPRODUCT(--ISNUMBER(SEARCH(" "&amp;$CR$1556:$CR$1655&amp;" ",$BJ33)))),"")</f>
        <v>0</v>
      </c>
      <c r="BI33" s="209">
        <f>IF(33=33,IF($U33="","",SUMPRODUCT(--ISNUMBER(SEARCH(" "&amp;$CR$1656:$CR$1739&amp;" ",$BJ33)))),"")</f>
        <v>0</v>
      </c>
      <c r="BJ33" s="209" t="str">
        <f>IF(33=33,IF($U33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33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champagne vin effervescent </v>
      </c>
      <c r="BK33" s="209">
        <f>IF(33=33,IF($U33="","",SUMPRODUCT(--ISNUMBER(SEARCH(" "&amp;$CR$1790:$CR$1869&amp;" ",$BL33)))+SUMPRODUCT(--ISNUMBER(SEARCH(" "&amp;$CR$2440:$CR$2453&amp;" ",$BL33)))),"")</f>
        <v>2</v>
      </c>
      <c r="BL33" s="209" t="str">
        <f>IF(33=33,IF($U33="","",SUBSTITUTE(SUBSTITUTE(SUBSTITUTE(SUBSTITUTE(SUBSTITUTE(SUBSTITUTE(SUBSTITUTE(SUBSTITUTE(SUBSTITUTE(SUBSTITUTE(SUBSTITUTE(SUBSTITUTE(SUBSTITUTE($BJ33,"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champagne vin effervescent </v>
      </c>
      <c r="BM33" s="209" t="str">
        <f>IF(33=33,IF($U33="","",IF(SUM(BG33:BI33)+SUMPRODUCT(--ISNUMBER(SEARCH(" "&amp;$CR$2423:$CR$2424&amp;" ",$BJ33)))&gt;0,"X",IF(BK33&gt;0,"?",""))),"")</f>
        <v>?</v>
      </c>
      <c r="BN33" s="209">
        <f>IF(33=33,IF($U33="","",SUMPRODUCT(--ISNUMBER(SEARCH(" "&amp;$CR$1879:$CR$1936&amp;" ",$BO33)))),"")</f>
        <v>0</v>
      </c>
      <c r="BO33" s="209" t="str">
        <f>IF(33=33,IF($U33="","",SUBSTITUTE(SUBSTITUTE(SUBSTITUTE(SUBSTITUTE(SUBSTITUTE(SUBSTITUTE(SUBSTITUTE(SUBSTITUTE(SUBSTITUTE(SUBSTITUTE(SUBSTITUTE(SUBSTITUTE(SUBSTITUTE(SUBSTITUTE(SUBSTITUTE(SUBSTITUTE(SUBSTITUTE(SUBSTITUTE(SUBSTITUTE(SUBSTITUTE(SUBSTITUTE(SUBSTITUTE(SUBSTITUTE($AA33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champagne vin effervescent </v>
      </c>
      <c r="BP33" s="209">
        <f>IF(33=33,IF($U33="","",SUMPRODUCT(--ISNUMBER(SEARCH(" "&amp;$CR$1960:$CR$1976&amp;" ",$BO33)))),"")</f>
        <v>0</v>
      </c>
      <c r="BQ33" s="209" t="str">
        <f>IF(33=33,IF($U33="","",IF(BN33&gt;0,"X",IF(BP33&gt;0,"?",""))),"")</f>
        <v/>
      </c>
      <c r="BR33" s="209">
        <f>IF(33=33,IF($U33="","",SUMPRODUCT(--ISNUMBER(SEARCH(" "&amp;$CR$1977:$CR$1990&amp;" ",$AA33)))),"")</f>
        <v>0</v>
      </c>
      <c r="BS33" s="209">
        <f>IF(33=33,IF($U33="","",SUMPRODUCT(--ISNUMBER(SEARCH(" "&amp;$CR$1991:$CR$2005&amp;" ",$AA33)))),"")</f>
        <v>0</v>
      </c>
      <c r="BT33" s="209" t="str">
        <f>IF(33=33,IF($U33="","",IF((BR33)-(0)&gt;0,"X",IF((BS33)-(0)&gt;0,"?",""))),"")</f>
        <v/>
      </c>
      <c r="BU33" s="209">
        <f>IF(33=33,IF($U33="","",SUMPRODUCT(--ISNUMBER(SEARCH(" "&amp;$CR$2006:$CR$2023&amp;" ",$AA33)))),"")</f>
        <v>0</v>
      </c>
      <c r="BV33" s="209">
        <f>IF(33=33,IF($U33="","",SUMPRODUCT(--ISNUMBER(SEARCH(" "&amp;$CR$2024:$CR$2038&amp;" ",$AA33)))),"")</f>
        <v>0</v>
      </c>
      <c r="BW33" s="209" t="str">
        <f>IF(33=33,IF($U33="","",IF((BU33)-(0)&gt;0,"X",IF((BV33)-(0)&gt;0,"?",""))),"")</f>
        <v/>
      </c>
      <c r="BX33" s="209">
        <f>IF(33=33,IF($U33="","",SUMPRODUCT(--ISNUMBER(SEARCH(" "&amp;$CR$2039:$CR$2057&amp;" ",$AA33)))),"")</f>
        <v>0</v>
      </c>
      <c r="BY33" s="209">
        <f>IF(33=33,IF($U33="","",SUMPRODUCT(--ISNUMBER(SEARCH(" "&amp;$CR$2058:$CR$2072&amp;" ",$AA33)))),"")</f>
        <v>0</v>
      </c>
      <c r="BZ33" s="209" t="str">
        <f>IF(33=33,IF($U33="","",IF((BX33)-(0)&gt;0,"X",IF((BY33)-(0)&gt;0,"?",""))),"")</f>
        <v/>
      </c>
      <c r="CA33" s="209">
        <f>IF(33=33,IF($U33="","",SUMPRODUCT(--ISNUMBER(SEARCH(" "&amp;$CR$2073:$CR$2093&amp;" ",$AA33)))),"")</f>
        <v>0</v>
      </c>
      <c r="CB33" s="209">
        <f>IF(33=33,IF($U33="","",SUMPRODUCT(--ISNUMBER(SEARCH(" "&amp;$CR$2094:$CR$2133&amp;" ",SUBSTITUTE(SUBSTITUTE($AA33," "&amp;$CR$1367&amp;" "," ")," "&amp;$CR$1366&amp;" "," "))))+--ISNUMBER(SEARCH("poiré",$V33))),"")</f>
        <v>2</v>
      </c>
      <c r="CC33" s="209" t="str">
        <f>IF(33=33,IF($U33="","",IF(OR(CA33&gt;0,ISNUMBER(SEARCH(" vinaigre de vin ",$AA33)),ISNUMBER(SEARCH(" vinaigre au vin ",$AA33))),"X",IF(CB33&gt;0,"?",""))),"")</f>
        <v>?</v>
      </c>
      <c r="CD33" s="209">
        <f>IF(33=33,IF($U33="","",SUMPRODUCT(--ISNUMBER(SEARCH(" "&amp;$CR$2134:$CR$2146&amp;" ",$AA33)))),"")</f>
        <v>0</v>
      </c>
      <c r="CE33" s="209">
        <f>IF(33=33,IF($U33="","",SUMPRODUCT(--ISNUMBER(SEARCH(" "&amp;$CR$2147:$CR$2152&amp;" ",$AA33)))),"")</f>
        <v>0</v>
      </c>
      <c r="CF33" s="209" t="str">
        <f>IF(33=33,IF($U33="","",IF((CD33)-(0)&gt;0,"X",IF((CE33)-(0)&gt;0,"?",""))),"")</f>
        <v/>
      </c>
      <c r="CG33" s="209">
        <f>IF(33=33,IF($U33="","",SUMPRODUCT(--ISNUMBER(SEARCH(" "&amp;$CR$2153:$CR$2252&amp;" ",$CJ33)))),"")</f>
        <v>0</v>
      </c>
      <c r="CH33" s="209">
        <f>IF(33=33,IF($U33="","",SUMPRODUCT(--ISNUMBER(SEARCH(" "&amp;$CR$2253:$CR$2352&amp;" ",$CJ33)))),"")</f>
        <v>0</v>
      </c>
      <c r="CI33" s="209">
        <f>IF(33=33,IF($U33="","",SUMPRODUCT(--ISNUMBER(SEARCH(" "&amp;$CR$2353:$CR$2395&amp;" ",$CJ33)))),"")</f>
        <v>0</v>
      </c>
      <c r="CJ33" s="209" t="str">
        <f>IF(33=33,IF($U33="","",SUBSTITUTE(SUBSTITUTE(SUBSTITUTE(SUBSTITUTE(SUBSTITUTE(SUBSTITUTE(SUBSTITUTE(SUBSTITUTE(SUBSTITUTE(SUBSTITUTE(SUBSTITUTE(SUBSTITUTE(SUBSTITUTE(SUBSTITUTE(SUBSTITUTE(SUBSTITUTE($AA33,"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champagne vin effervescent </v>
      </c>
      <c r="CK33" s="209">
        <f>IF(33=33,IF($U33="","",SUMPRODUCT(--ISNUMBER(SEARCH(" "&amp;$CR$2412:$CR$2416&amp;" ",$CJ33)))),"")</f>
        <v>0</v>
      </c>
      <c r="CL33" s="209" t="str">
        <f>IF(33=33,IF($U33="","",IF(SUM(CG33:CI33)&gt;0,"X",IF(CK33&gt;0,"?",""))),"")</f>
        <v/>
      </c>
      <c r="CM33" s="210"/>
      <c r="CN33" s="213" t="s">
        <v>1033</v>
      </c>
      <c r="CO33" s="213" t="s">
        <v>878</v>
      </c>
      <c r="CP33" s="213" t="s">
        <v>879</v>
      </c>
      <c r="CQ33" s="213" t="s">
        <v>1034</v>
      </c>
      <c r="CR33" s="213" t="s">
        <v>1035</v>
      </c>
      <c r="CS33" s="213" t="s">
        <v>881</v>
      </c>
      <c r="CT33" s="213" t="s">
        <v>882</v>
      </c>
      <c r="CU33" s="213" t="s">
        <v>883</v>
      </c>
      <c r="CV33" s="214" t="s">
        <v>884</v>
      </c>
      <c r="CX33" s="212">
        <v>1</v>
      </c>
    </row>
    <row r="34" spans="1:102" ht="21" customHeight="1">
      <c r="A34" s="229">
        <v>28</v>
      </c>
      <c r="B34" s="230" t="s">
        <v>6564</v>
      </c>
      <c r="C34" s="231" t="str">
        <f t="shared" si="0"/>
        <v>Prosecco / Cava ?</v>
      </c>
      <c r="D34" s="232" t="str">
        <f>IF(34=34,IF($B34="","",IF(E34="X",""&amp;"Céréales contenant du gluten","")&amp;IF(F34="X",IF(COUNTIF($E34:$E34,"X")&gt;0,", ","")&amp;"Crustacés","")&amp;IF(G34="X",IF(COUNTIF($E34:$F34,"X")&gt;0,", ","")&amp;"Œufs","")&amp;IF(H34="X",IF(COUNTIF($E34:$G34,"X")&gt;0,", ","")&amp;"Poissons","")&amp;IF(I34="X",IF(COUNTIF($E34:$H34,"X")&gt;0,", ","")&amp;"Arachides","")&amp;IF(J34="X",IF(COUNTIF($E34:$I34,"X")&gt;0,", ","")&amp;"Soja","")&amp;IF(K34="X",IF(COUNTIF($E34:$J34,"X")&gt;0,", ","")&amp;"Lait","")&amp;IF(L34="X",IF(COUNTIF($E34:$K34,"X")&gt;0,", ","")&amp;"Fruits à coque","")&amp;IF(M34="X",IF(COUNTIF($E34:$L34,"X")&gt;0,", ","")&amp;"Céleri","")&amp;IF(N34="X",IF(COUNTIF($E34:$M34,"X")&gt;0,", ","")&amp;"Moutarde","")&amp;IF(O34="X",IF(COUNTIF($E34:$N34,"X")&gt;0,", ","")&amp;"Sésame","")&amp;IF(P34="X",IF(COUNTIF($E34:$O34,"X")&gt;0,", ","")&amp;"Sulfites","")&amp;IF(Q34="X",IF(COUNTIF($E34:$P34,"X")&gt;0,", ","")&amp;"Lupin","")&amp;IF(R34="X",IF(COUNTIF($E34:$Q34,"X")&gt;0,", ","")&amp;"Mollusques","")),"")</f>
        <v/>
      </c>
      <c r="E34" s="233" t="str">
        <f>IF(34=34,IF($B34="","",IF(OR(ISNUMBER(SEARCH(" biere sans gluten ",$AA34)),ISNUMBER(SEARCH(" gluten free beer ",$AA34)),ISNUMBER(SEARCH(" beer gluten free ",$AA34))),"",IF(AF34="X","X",IF(OR(AF34="?",OR(ISNUMBER(SEARCH(" worcestershire ",$AA34)),ISNUMBER(SEARCH(" bloody mary ",$AA34)))),"?","")))),"")</f>
        <v/>
      </c>
      <c r="F34" s="233" t="str">
        <f>IF(34=34,IF($B34="","",AI34),"")</f>
        <v/>
      </c>
      <c r="G34" s="233" t="str">
        <f>IF(34=34,IF($B34="","",IF(OR(TRIM($AA34)="puree pate d amande",TRIM($AA34)="pate puree d amande",TRIM($AA34)="puree d amande",TRIM($AA34)="pate d amande",TRIM($AA34)="pate puree de noisette",TRIM($AA34)="puree pate de noisette",TRIM($AA34)="puree de noisette",TRIM($AA34)="pate de noisette"),"",IF(OR(AM34="X",OR(ISNUMBER(SEARCH(" macaron ",$AA34)),ISNUMBER(SEARCH(" egg nog ",$AA34)),ISNUMBER(SEARCH(" eggnog ",$AA34)))),"X",IF(OR(AM34="?",OR(ISNUMBER(SEARCH(" biscuit decoratif ",$AA34)),ISNUMBER(SEARCH(" whisky sour ",$AA34)),ISNUMBER(SEARCH(" whiskey sour ",$AA34)),ISNUMBER(SEARCH(" amaretto sour ",$AA34)),ISNUMBER(SEARCH(" pisco sour ",$AA34)),ISNUMBER(SEARCH(" clover club ",$AA34)),ISNUMBER(SEARCH(" ramos gin fizz ",$AA34)))),"?","")))),"")</f>
        <v>?</v>
      </c>
      <c r="H34" s="233" t="str">
        <f>IF(34=34,IF($B34="","",IF(ISNUMBER(SEARCH(" colin ",$AA34)),"X",IF(AZ34="X","X",IF(OR(AZ34="?",OR(ISNUMBER(SEARCH(" worcestershire ",$AA34)),ISNUMBER(SEARCH(" bloody mary ",$AA34)))),"?","")))),"")</f>
        <v/>
      </c>
      <c r="I34" s="233" t="str">
        <f>IF(34=34,IF($B34="","",BB34),"")</f>
        <v/>
      </c>
      <c r="J34" s="233" t="str">
        <f>IF(34=34,IF($B34="","",BF34),"")</f>
        <v/>
      </c>
      <c r="K34" s="233" t="str">
        <f>IF(34=34,IF($B34="","",IF(OR(OR(TRIM($AA34)="puree pate d amande",TRIM($AA34)="pate puree d amande",TRIM($AA34)="puree d amande",TRIM($AA34)="pate d amande",TRIM($AA34)="pate puree de noisette",TRIM($AA34)="puree pate de noisette",TRIM($AA34)="puree de noisette",TRIM($AA34)="pate de noisette"),OR(TRIM($AA34)="beurre puree d arachide",TRIM($AA34)="beurre d arachide",TRIM($AA34)="puree d arachide"),OR(TRIM($AA34)="tahini puree de sesame",TRIM($AA34)="tahini",TRIM($AA34)="puree de sesame")),"",IF(OR(TRIM($AA34)="creme de cassis",TRIM($AA34)="creme de menthe",TRIM($AA34)="creme de cacao",TRIM($AA34)="creme de mure",TRIM($AA34)="creme de framboise",TRIM($AA34)="creme de peche",TRIM($AA34)="creme de banane",TRIM($AA34)="liqueur creme de coco",TRIM($AA34)="creme de coco",TRIM($AA34)="spiritueux aromatise arrange creme de spiritueux"),"?",IF(OR(BM34="X",OR(ISNUMBER(SEARCH(" baileys ",$AA34)),ISNUMBER(SEARCH(" irish cream ",$AA34)),ISNUMBER(SEARCH(" creme de whisky ",$AA34)))),"X",IF(OR(BM34="?",OR(OR(TRIM($AA34)="creme de cassis",TRIM($AA34)="creme de menthe",TRIM($AA34)="creme de cacao",TRIM($AA34)="creme de mure",TRIM($AA34)="creme de framboise",TRIM($AA34)="creme de peche",TRIM($AA34)="creme de banane",TRIM($AA34)="liqueur creme de coco",TRIM($AA34)="creme de coco",TRIM($AA34)="spiritueux aromatise arrange creme de spiritueux"),ISNUMBER(SEARCH(" advocaat ",$AA34)),ISNUMBER(SEARCH(" liqueur aux oeufs ",$AA34)),ISNUMBER(SEARCH(" liqueur de chocolat ",$AA34)),ISNUMBER(SEARCH(" liqueur de caramel ",$AA34)),ISNUMBER(SEARCH(" sauce nappage chocolat ",$AA34)),ISNUMBER(SEARCH(" biscuit decoratif ",$AA34)),ISNUMBER(SEARCH(" white russian ",$AA34)),ISNUMBER(SEARCH(" grasshopper ",$AA34)),ISNUMBER(SEARCH(" irish coffee ",$AA34)),ISNUMBER(SEARCH(" ramos gin fizz ",$AA34)),ISNUMBER(SEARCH(" egg nog ",$AA34)),ISNUMBER(SEARCH(" eggnog ",$AA34)))),"?",""))))),"")</f>
        <v>?</v>
      </c>
      <c r="L34" s="233" t="str">
        <f>IF(34=34,IF($B34="","",IF(OR(BQ34="X",OR(OR(TRIM($AA34)="puree pate d amande",TRIM($AA34)="pate puree d amande",TRIM($AA34)="puree d amande",TRIM($AA34)="pate d amande",TRIM($AA34)="pate puree de noisette",TRIM($AA34)="puree pate de noisette",TRIM($AA34)="puree de noisette",TRIM($AA34)="pate de noisette"),ISNUMBER(SEARCH(" macaron ",$AA34)),TRIM($AA34)="fruits a coque")),"X",IF(OR(BQ34="?",OR(ISNUMBER(SEARCH(" sirop d orgeat ",$AA34)),ISNUMBER(SEARCH(" orgeat ",$AA34)),ISNUMBER(SEARCH(" amaretto ",$AA34)))),"?",""))),"")</f>
        <v/>
      </c>
      <c r="M34" s="233" t="str">
        <f>IF(34=34,IF($B34="","",IF(OR(OR(TRIM($AA34)="puree pate d amande",TRIM($AA34)="pate puree d amande",TRIM($AA34)="puree d amande",TRIM($AA34)="pate d amande",TRIM($AA34)="pate puree de noisette",TRIM($AA34)="puree pate de noisette",TRIM($AA34)="puree de noisette",TRIM($AA34)="pate de noisette"),OR(TRIM($AA34)="tahini puree de sesame",TRIM($AA34)="tahini",TRIM($AA34)="puree de sesame")),"",IF(BT34="X","X",IF(OR(BT34="?",ISNUMBER(SEARCH(" bloody mary ",$AA34))),"?","")))),"")</f>
        <v/>
      </c>
      <c r="N34" s="233" t="str">
        <f>IF(34=34,IF($B34="","",IF(OR(OR(TRIM($AA34)="puree pate d amande",TRIM($AA34)="pate puree d amande",TRIM($AA34)="puree d amande",TRIM($AA34)="pate d amande",TRIM($AA34)="pate puree de noisette",TRIM($AA34)="puree pate de noisette",TRIM($AA34)="puree de noisette",TRIM($AA34)="pate de noisette"),OR(TRIM($AA34)="tahini puree de sesame",TRIM($AA34)="tahini",TRIM($AA34)="puree de sesame")),"",IF(BW34="X","X",IF(OR(BW34="?",ISNUMBER(SEARCH(" bloody mary ",$AA34))),"?","")))),"")</f>
        <v/>
      </c>
      <c r="O34" s="233" t="str">
        <f>IF(34=34,IF($B34="","",BZ34),"")</f>
        <v/>
      </c>
      <c r="P34" s="233" t="str">
        <f>IF(34=34,IF($B34="","",CC34),"")</f>
        <v>?</v>
      </c>
      <c r="Q34" s="233" t="str">
        <f>IF(34=34,IF($B34="","",CF34),"")</f>
        <v/>
      </c>
      <c r="R34" s="233" t="str">
        <f>IF(34=34,IF($B34="","",IF(TRIM($AA34)="fruits a coque","",IF(CL34="X","X",IF(OR(CL34="?",OR(ISNUMBER(SEARCH(" clamato ",$AA34)),ISNUMBER(SEARCH(" bloody caesar ",$AA34)))),"?","")))),"")</f>
        <v/>
      </c>
      <c r="S34" s="234" t="str">
        <f>IF(34=34,IF($B34="","",IF(E34="?",""&amp;"Céréales contenant du gluten","")&amp;IF(F34="?",IF(COUNTIF($E34:$E34,"~?")&gt;0,", ","")&amp;"Crustacés","")&amp;IF(G34="?",IF(COUNTIF($E34:$F34,"~?")&gt;0,", ","")&amp;"Œufs","")&amp;IF(H34="?",IF(COUNTIF($E34:$G34,"~?")&gt;0,", ","")&amp;"Poissons","")&amp;IF(I34="?",IF(COUNTIF($E34:$H34,"~?")&gt;0,", ","")&amp;"Arachides","")&amp;IF(J34="?",IF(COUNTIF($E34:$I34,"~?")&gt;0,", ","")&amp;"Soja","")&amp;IF(K34="?",IF(COUNTIF($E34:$J34,"~?")&gt;0,", ","")&amp;"Lait","")&amp;IF(L34="?",IF(COUNTIF($E34:$K34,"~?")&gt;0,", ","")&amp;"Fruits à coque","")&amp;IF(M34="?",IF(COUNTIF($E34:$L34,"~?")&gt;0,", ","")&amp;"Céleri","")&amp;IF(N34="?",IF(COUNTIF($E34:$M34,"~?")&gt;0,", ","")&amp;"Moutarde","")&amp;IF(O34="?",IF(COUNTIF($E34:$N34,"~?")&gt;0,", ","")&amp;"Sésame","")&amp;IF(P34="?",IF(COUNTIF($E34:$O34,"~?")&gt;0,", ","")&amp;"Sulfites","")&amp;IF(Q34="?",IF(COUNTIF($E34:$P34,"~?")&gt;0,", ","")&amp;"Lupin","")&amp;IF(R34="?",IF(COUNTIF($E34:$Q34,"~?")&gt;0,", ","")&amp;"Mollusques","")),"")</f>
        <v>Œufs, Lait, Sulfites</v>
      </c>
      <c r="U34" s="209" t="str">
        <f>IF(34=34,IF($B34="","",$B34),"")</f>
        <v>Prosecco / Cava</v>
      </c>
      <c r="V34" s="209" t="str">
        <f>IF(34=34,LOWER(CLEAN(SUBSTITUTE(SUBSTITUTE(SUBSTITUTE(SUBSTITUTE($U34,CHAR(160)," ")," "," "),CHAR(10)," "),CHAR(13)," "))),"")</f>
        <v>prosecco / cava</v>
      </c>
      <c r="W34" s="209" t="str">
        <f>IF(34=34,SUBSTITUTE(SUBSTITUTE(SUBSTITUTE(SUBSTITUTE(SUBSTITUTE(SUBSTITUTE(SUBSTITUTE(SUBSTITUTE(SUBSTITUTE(SUBSTITUTE(SUBSTITUTE(SUBSTITUTE($V34,"œ","oe"),"æ","ae"),"à","a"),"á","a"),"â","a"),"ä","a"),"ã","a"),"ç","c"),"è","e"),"é","e"),"ê","e"),"ë","e"),"")</f>
        <v>prosecco / cava</v>
      </c>
      <c r="X34" s="209" t="str">
        <f>IF(34=34,SUBSTITUTE(SUBSTITUTE(SUBSTITUTE(SUBSTITUTE(SUBSTITUTE(SUBSTITUTE(SUBSTITUTE(SUBSTITUTE(SUBSTITUTE(SUBSTITUTE(SUBSTITUTE(SUBSTITUTE(SUBSTITUTE(SUBSTITUTE(SUBSTITUTE(SUBSTITUTE($W34,"ì","i"),"í","i"),"î","i"),"ï","i"),"ñ","n"),"ò","o"),"ó","o"),"ô","o"),"ö","o"),"õ","o"),"ù","u"),"ú","u"),"û","u"),"ü","u"),"ý","y"),"ÿ","y"),"")</f>
        <v>prosecco / cava</v>
      </c>
      <c r="Y34" s="209" t="str">
        <f>IF(34=34,SUBSTITUTE(SUBSTITUTE(SUBSTITUTE(SUBSTITUTE(SUBSTITUTE(SUBSTITUTE(SUBSTITUTE(SUBSTITUTE(SUBSTITUTE(SUBSTITUTE(SUBSTITUTE(SUBSTITUTE(SUBSTITUTE(SUBSTITUTE($X34,"’"," "),"`"," "),"–"," "),"—"," "),"-"," "),"'"," "),"/"," "),"_"," "),","," "),"."," "),"("," "),")"," "),";"," "),":"," "),"")</f>
        <v>prosecco   cava</v>
      </c>
      <c r="Z34" s="209" t="str">
        <f>IF(34=34,SUBSTITUTE(SUBSTITUTE(SUBSTITUTE(SUBSTITUTE(SUBSTITUTE(SUBSTITUTE(SUBSTITUTE(SUBSTITUTE(SUBSTITUTE(SUBSTITUTE(SUBSTITUTE(SUBSTITUTE(SUBSTITUTE(SUBSTITUTE(SUBSTITUTE($Y34,"!"," "),"?"," "),"+"," "),"*"," "),"&amp;"," "),"["," "),"]"," "),"{"," "),"}"," "),"%"," "),"="," "),"\"," "),"|"," "),"&lt;"," "),"&gt;"," "),"")</f>
        <v>prosecco   cava</v>
      </c>
      <c r="AA34" s="209" t="str">
        <f>IF(34=34," "&amp;TRIM(SUBSTITUTE(SUBSTITUTE(SUBSTITUTE(SUBSTITUTE(SUBSTITUTE(SUBSTITUTE($Z34,CHAR(34)," "),"  "," "),"  "," "),"  "," "),"  "," "),"  "," "))&amp;" ","")</f>
        <v xml:space="preserve"> prosecco cava </v>
      </c>
      <c r="AB34" s="209">
        <f>IF(34=34,IF($U34="","",SUMPRODUCT(--ISNUMBER(SEARCH(" "&amp;$CR$2:$CR$101&amp;" ",$AD34)))),"")</f>
        <v>0</v>
      </c>
      <c r="AC34" s="209">
        <f>IF(34=34,IF($U34="","",SUMPRODUCT(--ISNUMBER(SEARCH(" "&amp;$CR$102:$CR$151&amp;" ",$AD34)))),"")</f>
        <v>0</v>
      </c>
      <c r="AD34" s="209" t="str">
        <f t="shared" si="1"/>
        <v xml:space="preserve"> prosecco cava </v>
      </c>
      <c r="AE34" s="209">
        <f t="shared" si="2"/>
        <v>0</v>
      </c>
      <c r="AF34" s="209" t="str">
        <f>IF(34=34,IF($U34="","",IF(SUM(AB34:AC34)+SUMPRODUCT(--ISNUMBER(SEARCH(" "&amp;$CR$2418:$CR$2420&amp;" ",$AD34)))&gt;0,"X",IF(AE34&gt;0,"?",""))),"")</f>
        <v/>
      </c>
      <c r="AG34" s="209">
        <f>IF(34=34,IF($U34="","",SUMPRODUCT(--ISNUMBER(SEARCH(" "&amp;$CR$206:$CR$305&amp;" ",$AA34)))),"")</f>
        <v>0</v>
      </c>
      <c r="AH34" s="209">
        <f>IF(34=34,IF($U34="","",SUMPRODUCT(--ISNUMBER(SEARCH(" "&amp;$CR$306:$CR$340&amp;" ",$AA34)))),"")</f>
        <v>0</v>
      </c>
      <c r="AI34" s="209" t="str">
        <f>IF(34=34,IF($U34="","",IF((SUM(AG34:AH34))-(0)&gt;0,"X",IF((0)-(0)&gt;0,"?",""))),"")</f>
        <v/>
      </c>
      <c r="AJ34" s="209">
        <f>IF(34=34,IF($U34="","",SUMPRODUCT(--ISNUMBER(SEARCH(" "&amp;$CR$341:$CR$398&amp;" ",$AA34)))),"")</f>
        <v>0</v>
      </c>
      <c r="AK34" s="209">
        <f>IF(34=34,IF($U34="","",SUMPRODUCT(--ISNUMBER(SEARCH(" "&amp;$CR$399:$CR$426&amp;" ",$AL34)))+SUMPRODUCT(--ISNUMBER(SEARCH(" "&amp;$CR$2440:$CR$2453&amp;" ",$AL34)))),"")</f>
        <v>2</v>
      </c>
      <c r="AL34" s="209" t="str">
        <f>IF(34=34,IF($U34="","",SUBSTITUTE(SUBSTITUTE(SUBSTITUTE(SUBSTITUTE(SUBSTITUTE(SUBSTITUTE(SUBSTITUTE(SUBSTITUTE(SUBSTITUTE(SUBSTITUTE(SUBSTITUTE(SUBSTITUTE(SUBSTITUTE(SUBSTITUTE($AA34,"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prosecco cava </v>
      </c>
      <c r="AM34" s="209" t="str">
        <f>IF(34=34,IF($U34="","",IF(AJ34&gt;0,"X",IF(AK34&gt;0,"?",""))),"")</f>
        <v>?</v>
      </c>
      <c r="AN34" s="209">
        <f>IF(34=34,IF($U34="","",SUMPRODUCT(--ISNUMBER(SEARCH(" "&amp;$CR$436:$CR$535&amp;" ",$AX34)))),"")</f>
        <v>0</v>
      </c>
      <c r="AO34" s="209">
        <f>IF(34=34,IF($U34="","",SUMPRODUCT(--ISNUMBER(SEARCH(" "&amp;$CR$536:$CR$635&amp;" ",$AX34)))),"")</f>
        <v>0</v>
      </c>
      <c r="AP34" s="209">
        <f>IF(34=34,IF($U34="","",SUMPRODUCT(--ISNUMBER(SEARCH(" "&amp;$CR$636:$CR$735&amp;" ",$AX34)))),"")</f>
        <v>0</v>
      </c>
      <c r="AQ34" s="209">
        <f>IF(34=34,IF($U34="","",SUMPRODUCT(--ISNUMBER(SEARCH(" "&amp;$CR$736:$CR$835&amp;" ",$AX34)))),"")</f>
        <v>0</v>
      </c>
      <c r="AR34" s="209">
        <f>IF(34=34,IF($U34="","",SUMPRODUCT(--ISNUMBER(SEARCH(" "&amp;$CR$836:$CR$935&amp;" ",$AX34)))),"")</f>
        <v>0</v>
      </c>
      <c r="AS34" s="209">
        <f>IF(34=34,IF($U34="","",SUMPRODUCT(--ISNUMBER(SEARCH(" "&amp;$CR$936:$CR$1035&amp;" ",$AX34)))),"")</f>
        <v>0</v>
      </c>
      <c r="AT34" s="209">
        <f>IF(34=34,IF($U34="","",SUMPRODUCT(--ISNUMBER(SEARCH(" "&amp;$CR$1036:$CR$1135&amp;" ",$AX34)))),"")</f>
        <v>0</v>
      </c>
      <c r="AU34" s="209">
        <f>IF(34=34,IF($U34="","",SUMPRODUCT(--ISNUMBER(SEARCH(" "&amp;$CR$1136:$CR$1235&amp;" ",$AX34)))),"")</f>
        <v>0</v>
      </c>
      <c r="AV34" s="209">
        <f>IF(34=34,IF($U34="","",SUMPRODUCT(--ISNUMBER(SEARCH(" "&amp;$CR$1236:$CR$1335&amp;" ",$AX34)))),"")</f>
        <v>0</v>
      </c>
      <c r="AW34" s="209">
        <f>IF(34=34,IF($U34="","",SUMPRODUCT(--ISNUMBER(SEARCH(" "&amp;$CR$1336:$CR$1363&amp;" ",$AX34)))),"")</f>
        <v>0</v>
      </c>
      <c r="AX34" s="209" t="str">
        <f>IF(34=34,IF($U34="","",SUBSTITUTE(SUBSTITUTE(SUBSTITUTE(SUBSTITUTE(SUBSTITUTE(SUBSTITUTE(SUBSTITUTE(SUBSTITUTE(SUBSTITUTE($AA34,"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prosecco cava </v>
      </c>
      <c r="AY34" s="209">
        <f>IF(34=34,IF($U34="","",SUMPRODUCT(--ISNUMBER(SEARCH(" "&amp;$CR$1373:$CR$1383&amp;" ",$AX34)))),"")</f>
        <v>0</v>
      </c>
      <c r="AZ34" s="209" t="str">
        <f>IF(34=34,IF($U34="","",IF(SUM(AN34:AW34)+SUMPRODUCT(--ISNUMBER(SEARCH(" "&amp;$CR$2421:$CR$2422&amp;" ",$AX34)))&gt;0,"X",IF(AY34&gt;0,"?",""))),"")</f>
        <v/>
      </c>
      <c r="BA34" s="209">
        <f>IF(34=34,IF($U34="","",SUMPRODUCT(--ISNUMBER(SEARCH(" "&amp;$CR$1384:$CR$1404&amp;" ",$AA34)))),"")</f>
        <v>0</v>
      </c>
      <c r="BB34" s="209" t="str">
        <f>IF(34=34,IF($U34="","",IF((BA34)-(0)&gt;0,"X",IF((0)-(0)&gt;0,"?",""))),"")</f>
        <v/>
      </c>
      <c r="BC34" s="209">
        <f>IF(34=34,IF($U34="","",SUMPRODUCT(--ISNUMBER(SEARCH(" "&amp;$CR$1405:$CR$1442&amp;" ",$BD34)))),"")</f>
        <v>0</v>
      </c>
      <c r="BD34" s="209" t="str">
        <f>IF(34=34,IF($U34="","",SUBSTITUTE(SUBSTITUTE($AA34," "&amp;$CR$1443&amp;" "," ")," "&amp;$CR$1444&amp;" "," ")),"")</f>
        <v xml:space="preserve"> prosecco cava </v>
      </c>
      <c r="BE34" s="209">
        <f>IF(34=34,IF($U34="","",SUMPRODUCT(--ISNUMBER(SEARCH(" "&amp;$CR$1445:$CR$1455&amp;" ",$BD34)))),"")</f>
        <v>0</v>
      </c>
      <c r="BF34" s="209" t="str">
        <f>IF(34=34,IF($U34="","",IF(BC34&gt;0,"X",IF(BE34&gt;0,"?",""))),"")</f>
        <v/>
      </c>
      <c r="BG34" s="209">
        <f>IF(34=34,IF($U34="","",SUMPRODUCT(--ISNUMBER(SEARCH(" "&amp;$CR$1456:$CR$1555&amp;" ",$BJ34)))),"")</f>
        <v>0</v>
      </c>
      <c r="BH34" s="209">
        <f>IF(34=34,IF($U34="","",SUMPRODUCT(--ISNUMBER(SEARCH(" "&amp;$CR$1556:$CR$1655&amp;" ",$BJ34)))),"")</f>
        <v>0</v>
      </c>
      <c r="BI34" s="209">
        <f>IF(34=34,IF($U34="","",SUMPRODUCT(--ISNUMBER(SEARCH(" "&amp;$CR$1656:$CR$1739&amp;" ",$BJ34)))),"")</f>
        <v>0</v>
      </c>
      <c r="BJ34" s="209" t="str">
        <f>IF(34=34,IF($U34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34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prosecco cava </v>
      </c>
      <c r="BK34" s="209">
        <f>IF(34=34,IF($U34="","",SUMPRODUCT(--ISNUMBER(SEARCH(" "&amp;$CR$1790:$CR$1869&amp;" ",$BL34)))+SUMPRODUCT(--ISNUMBER(SEARCH(" "&amp;$CR$2440:$CR$2453&amp;" ",$BL34)))),"")</f>
        <v>2</v>
      </c>
      <c r="BL34" s="209" t="str">
        <f>IF(34=34,IF($U34="","",SUBSTITUTE(SUBSTITUTE(SUBSTITUTE(SUBSTITUTE(SUBSTITUTE(SUBSTITUTE(SUBSTITUTE(SUBSTITUTE(SUBSTITUTE(SUBSTITUTE(SUBSTITUTE(SUBSTITUTE(SUBSTITUTE($BJ34,"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prosecco cava </v>
      </c>
      <c r="BM34" s="209" t="str">
        <f>IF(34=34,IF($U34="","",IF(SUM(BG34:BI34)+SUMPRODUCT(--ISNUMBER(SEARCH(" "&amp;$CR$2423:$CR$2424&amp;" ",$BJ34)))&gt;0,"X",IF(BK34&gt;0,"?",""))),"")</f>
        <v>?</v>
      </c>
      <c r="BN34" s="209">
        <f>IF(34=34,IF($U34="","",SUMPRODUCT(--ISNUMBER(SEARCH(" "&amp;$CR$1879:$CR$1936&amp;" ",$BO34)))),"")</f>
        <v>0</v>
      </c>
      <c r="BO34" s="209" t="str">
        <f>IF(34=34,IF($U34="","",SUBSTITUTE(SUBSTITUTE(SUBSTITUTE(SUBSTITUTE(SUBSTITUTE(SUBSTITUTE(SUBSTITUTE(SUBSTITUTE(SUBSTITUTE(SUBSTITUTE(SUBSTITUTE(SUBSTITUTE(SUBSTITUTE(SUBSTITUTE(SUBSTITUTE(SUBSTITUTE(SUBSTITUTE(SUBSTITUTE(SUBSTITUTE(SUBSTITUTE(SUBSTITUTE(SUBSTITUTE(SUBSTITUTE($AA34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prosecco cava </v>
      </c>
      <c r="BP34" s="209">
        <f>IF(34=34,IF($U34="","",SUMPRODUCT(--ISNUMBER(SEARCH(" "&amp;$CR$1960:$CR$1976&amp;" ",$BO34)))),"")</f>
        <v>0</v>
      </c>
      <c r="BQ34" s="209" t="str">
        <f>IF(34=34,IF($U34="","",IF(BN34&gt;0,"X",IF(BP34&gt;0,"?",""))),"")</f>
        <v/>
      </c>
      <c r="BR34" s="209">
        <f>IF(34=34,IF($U34="","",SUMPRODUCT(--ISNUMBER(SEARCH(" "&amp;$CR$1977:$CR$1990&amp;" ",$AA34)))),"")</f>
        <v>0</v>
      </c>
      <c r="BS34" s="209">
        <f>IF(34=34,IF($U34="","",SUMPRODUCT(--ISNUMBER(SEARCH(" "&amp;$CR$1991:$CR$2005&amp;" ",$AA34)))),"")</f>
        <v>0</v>
      </c>
      <c r="BT34" s="209" t="str">
        <f>IF(34=34,IF($U34="","",IF((BR34)-(0)&gt;0,"X",IF((BS34)-(0)&gt;0,"?",""))),"")</f>
        <v/>
      </c>
      <c r="BU34" s="209">
        <f>IF(34=34,IF($U34="","",SUMPRODUCT(--ISNUMBER(SEARCH(" "&amp;$CR$2006:$CR$2023&amp;" ",$AA34)))),"")</f>
        <v>0</v>
      </c>
      <c r="BV34" s="209">
        <f>IF(34=34,IF($U34="","",SUMPRODUCT(--ISNUMBER(SEARCH(" "&amp;$CR$2024:$CR$2038&amp;" ",$AA34)))),"")</f>
        <v>0</v>
      </c>
      <c r="BW34" s="209" t="str">
        <f>IF(34=34,IF($U34="","",IF((BU34)-(0)&gt;0,"X",IF((BV34)-(0)&gt;0,"?",""))),"")</f>
        <v/>
      </c>
      <c r="BX34" s="209">
        <f>IF(34=34,IF($U34="","",SUMPRODUCT(--ISNUMBER(SEARCH(" "&amp;$CR$2039:$CR$2057&amp;" ",$AA34)))),"")</f>
        <v>0</v>
      </c>
      <c r="BY34" s="209">
        <f>IF(34=34,IF($U34="","",SUMPRODUCT(--ISNUMBER(SEARCH(" "&amp;$CR$2058:$CR$2072&amp;" ",$AA34)))),"")</f>
        <v>0</v>
      </c>
      <c r="BZ34" s="209" t="str">
        <f>IF(34=34,IF($U34="","",IF((BX34)-(0)&gt;0,"X",IF((BY34)-(0)&gt;0,"?",""))),"")</f>
        <v/>
      </c>
      <c r="CA34" s="209">
        <f>IF(34=34,IF($U34="","",SUMPRODUCT(--ISNUMBER(SEARCH(" "&amp;$CR$2073:$CR$2093&amp;" ",$AA34)))),"")</f>
        <v>0</v>
      </c>
      <c r="CB34" s="209">
        <f>IF(34=34,IF($U34="","",SUMPRODUCT(--ISNUMBER(SEARCH(" "&amp;$CR$2094:$CR$2133&amp;" ",SUBSTITUTE(SUBSTITUTE($AA34," "&amp;$CR$1367&amp;" "," ")," "&amp;$CR$1366&amp;" "," "))))+--ISNUMBER(SEARCH("poiré",$V34))),"")</f>
        <v>2</v>
      </c>
      <c r="CC34" s="209" t="str">
        <f>IF(34=34,IF($U34="","",IF(OR(CA34&gt;0,ISNUMBER(SEARCH(" vinaigre de vin ",$AA34)),ISNUMBER(SEARCH(" vinaigre au vin ",$AA34))),"X",IF(CB34&gt;0,"?",""))),"")</f>
        <v>?</v>
      </c>
      <c r="CD34" s="209">
        <f>IF(34=34,IF($U34="","",SUMPRODUCT(--ISNUMBER(SEARCH(" "&amp;$CR$2134:$CR$2146&amp;" ",$AA34)))),"")</f>
        <v>0</v>
      </c>
      <c r="CE34" s="209">
        <f>IF(34=34,IF($U34="","",SUMPRODUCT(--ISNUMBER(SEARCH(" "&amp;$CR$2147:$CR$2152&amp;" ",$AA34)))),"")</f>
        <v>0</v>
      </c>
      <c r="CF34" s="209" t="str">
        <f>IF(34=34,IF($U34="","",IF((CD34)-(0)&gt;0,"X",IF((CE34)-(0)&gt;0,"?",""))),"")</f>
        <v/>
      </c>
      <c r="CG34" s="209">
        <f>IF(34=34,IF($U34="","",SUMPRODUCT(--ISNUMBER(SEARCH(" "&amp;$CR$2153:$CR$2252&amp;" ",$CJ34)))),"")</f>
        <v>0</v>
      </c>
      <c r="CH34" s="209">
        <f>IF(34=34,IF($U34="","",SUMPRODUCT(--ISNUMBER(SEARCH(" "&amp;$CR$2253:$CR$2352&amp;" ",$CJ34)))),"")</f>
        <v>0</v>
      </c>
      <c r="CI34" s="209">
        <f>IF(34=34,IF($U34="","",SUMPRODUCT(--ISNUMBER(SEARCH(" "&amp;$CR$2353:$CR$2395&amp;" ",$CJ34)))),"")</f>
        <v>0</v>
      </c>
      <c r="CJ34" s="209" t="str">
        <f>IF(34=34,IF($U34="","",SUBSTITUTE(SUBSTITUTE(SUBSTITUTE(SUBSTITUTE(SUBSTITUTE(SUBSTITUTE(SUBSTITUTE(SUBSTITUTE(SUBSTITUTE(SUBSTITUTE(SUBSTITUTE(SUBSTITUTE(SUBSTITUTE(SUBSTITUTE(SUBSTITUTE(SUBSTITUTE($AA34,"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prosecco cava </v>
      </c>
      <c r="CK34" s="209">
        <f>IF(34=34,IF($U34="","",SUMPRODUCT(--ISNUMBER(SEARCH(" "&amp;$CR$2412:$CR$2416&amp;" ",$CJ34)))),"")</f>
        <v>0</v>
      </c>
      <c r="CL34" s="209" t="str">
        <f>IF(34=34,IF($U34="","",IF(SUM(CG34:CI34)&gt;0,"X",IF(CK34&gt;0,"?",""))),"")</f>
        <v/>
      </c>
      <c r="CM34" s="210"/>
      <c r="CN34" s="213" t="s">
        <v>1036</v>
      </c>
      <c r="CO34" s="213" t="s">
        <v>878</v>
      </c>
      <c r="CP34" s="213" t="s">
        <v>879</v>
      </c>
      <c r="CQ34" s="213" t="s">
        <v>1037</v>
      </c>
      <c r="CR34" s="213" t="s">
        <v>1038</v>
      </c>
      <c r="CS34" s="213" t="s">
        <v>881</v>
      </c>
      <c r="CT34" s="213" t="s">
        <v>882</v>
      </c>
      <c r="CU34" s="213" t="s">
        <v>883</v>
      </c>
      <c r="CV34" s="214" t="s">
        <v>884</v>
      </c>
      <c r="CX34" s="212">
        <v>1</v>
      </c>
    </row>
    <row r="35" spans="1:102" ht="21" customHeight="1">
      <c r="A35" s="229">
        <v>29</v>
      </c>
      <c r="B35" s="230" t="s">
        <v>6567</v>
      </c>
      <c r="C35" s="231" t="str">
        <f t="shared" si="0"/>
        <v>Vermouth ?</v>
      </c>
      <c r="D35" s="232" t="str">
        <f>IF(35=35,IF($B35="","",IF(E35="X",""&amp;"Céréales contenant du gluten","")&amp;IF(F35="X",IF(COUNTIF($E35:$E35,"X")&gt;0,", ","")&amp;"Crustacés","")&amp;IF(G35="X",IF(COUNTIF($E35:$F35,"X")&gt;0,", ","")&amp;"Œufs","")&amp;IF(H35="X",IF(COUNTIF($E35:$G35,"X")&gt;0,", ","")&amp;"Poissons","")&amp;IF(I35="X",IF(COUNTIF($E35:$H35,"X")&gt;0,", ","")&amp;"Arachides","")&amp;IF(J35="X",IF(COUNTIF($E35:$I35,"X")&gt;0,", ","")&amp;"Soja","")&amp;IF(K35="X",IF(COUNTIF($E35:$J35,"X")&gt;0,", ","")&amp;"Lait","")&amp;IF(L35="X",IF(COUNTIF($E35:$K35,"X")&gt;0,", ","")&amp;"Fruits à coque","")&amp;IF(M35="X",IF(COUNTIF($E35:$L35,"X")&gt;0,", ","")&amp;"Céleri","")&amp;IF(N35="X",IF(COUNTIF($E35:$M35,"X")&gt;0,", ","")&amp;"Moutarde","")&amp;IF(O35="X",IF(COUNTIF($E35:$N35,"X")&gt;0,", ","")&amp;"Sésame","")&amp;IF(P35="X",IF(COUNTIF($E35:$O35,"X")&gt;0,", ","")&amp;"Sulfites","")&amp;IF(Q35="X",IF(COUNTIF($E35:$P35,"X")&gt;0,", ","")&amp;"Lupin","")&amp;IF(R35="X",IF(COUNTIF($E35:$Q35,"X")&gt;0,", ","")&amp;"Mollusques","")),"")</f>
        <v/>
      </c>
      <c r="E35" s="233" t="str">
        <f>IF(35=35,IF($B35="","",IF(OR(ISNUMBER(SEARCH(" biere sans gluten ",$AA35)),ISNUMBER(SEARCH(" gluten free beer ",$AA35)),ISNUMBER(SEARCH(" beer gluten free ",$AA35))),"",IF(AF35="X","X",IF(OR(AF35="?",OR(ISNUMBER(SEARCH(" worcestershire ",$AA35)),ISNUMBER(SEARCH(" bloody mary ",$AA35)))),"?","")))),"")</f>
        <v/>
      </c>
      <c r="F35" s="233" t="str">
        <f>IF(35=35,IF($B35="","",AI35),"")</f>
        <v/>
      </c>
      <c r="G35" s="233" t="str">
        <f>IF(35=35,IF($B35="","",IF(OR(TRIM($AA35)="puree pate d amande",TRIM($AA35)="pate puree d amande",TRIM($AA35)="puree d amande",TRIM($AA35)="pate d amande",TRIM($AA35)="pate puree de noisette",TRIM($AA35)="puree pate de noisette",TRIM($AA35)="puree de noisette",TRIM($AA35)="pate de noisette"),"",IF(OR(AM35="X",OR(ISNUMBER(SEARCH(" macaron ",$AA35)),ISNUMBER(SEARCH(" egg nog ",$AA35)),ISNUMBER(SEARCH(" eggnog ",$AA35)))),"X",IF(OR(AM35="?",OR(ISNUMBER(SEARCH(" biscuit decoratif ",$AA35)),ISNUMBER(SEARCH(" whisky sour ",$AA35)),ISNUMBER(SEARCH(" whiskey sour ",$AA35)),ISNUMBER(SEARCH(" amaretto sour ",$AA35)),ISNUMBER(SEARCH(" pisco sour ",$AA35)),ISNUMBER(SEARCH(" clover club ",$AA35)),ISNUMBER(SEARCH(" ramos gin fizz ",$AA35)))),"?","")))),"")</f>
        <v>?</v>
      </c>
      <c r="H35" s="233" t="str">
        <f>IF(35=35,IF($B35="","",IF(ISNUMBER(SEARCH(" colin ",$AA35)),"X",IF(AZ35="X","X",IF(OR(AZ35="?",OR(ISNUMBER(SEARCH(" worcestershire ",$AA35)),ISNUMBER(SEARCH(" bloody mary ",$AA35)))),"?","")))),"")</f>
        <v/>
      </c>
      <c r="I35" s="233" t="str">
        <f>IF(35=35,IF($B35="","",BB35),"")</f>
        <v/>
      </c>
      <c r="J35" s="233" t="str">
        <f>IF(35=35,IF($B35="","",BF35),"")</f>
        <v/>
      </c>
      <c r="K35" s="233" t="str">
        <f>IF(35=35,IF($B35="","",IF(OR(OR(TRIM($AA35)="puree pate d amande",TRIM($AA35)="pate puree d amande",TRIM($AA35)="puree d amande",TRIM($AA35)="pate d amande",TRIM($AA35)="pate puree de noisette",TRIM($AA35)="puree pate de noisette",TRIM($AA35)="puree de noisette",TRIM($AA35)="pate de noisette"),OR(TRIM($AA35)="beurre puree d arachide",TRIM($AA35)="beurre d arachide",TRIM($AA35)="puree d arachide"),OR(TRIM($AA35)="tahini puree de sesame",TRIM($AA35)="tahini",TRIM($AA35)="puree de sesame")),"",IF(OR(TRIM($AA35)="creme de cassis",TRIM($AA35)="creme de menthe",TRIM($AA35)="creme de cacao",TRIM($AA35)="creme de mure",TRIM($AA35)="creme de framboise",TRIM($AA35)="creme de peche",TRIM($AA35)="creme de banane",TRIM($AA35)="liqueur creme de coco",TRIM($AA35)="creme de coco",TRIM($AA35)="spiritueux aromatise arrange creme de spiritueux"),"?",IF(OR(BM35="X",OR(ISNUMBER(SEARCH(" baileys ",$AA35)),ISNUMBER(SEARCH(" irish cream ",$AA35)),ISNUMBER(SEARCH(" creme de whisky ",$AA35)))),"X",IF(OR(BM35="?",OR(OR(TRIM($AA35)="creme de cassis",TRIM($AA35)="creme de menthe",TRIM($AA35)="creme de cacao",TRIM($AA35)="creme de mure",TRIM($AA35)="creme de framboise",TRIM($AA35)="creme de peche",TRIM($AA35)="creme de banane",TRIM($AA35)="liqueur creme de coco",TRIM($AA35)="creme de coco",TRIM($AA35)="spiritueux aromatise arrange creme de spiritueux"),ISNUMBER(SEARCH(" advocaat ",$AA35)),ISNUMBER(SEARCH(" liqueur aux oeufs ",$AA35)),ISNUMBER(SEARCH(" liqueur de chocolat ",$AA35)),ISNUMBER(SEARCH(" liqueur de caramel ",$AA35)),ISNUMBER(SEARCH(" sauce nappage chocolat ",$AA35)),ISNUMBER(SEARCH(" biscuit decoratif ",$AA35)),ISNUMBER(SEARCH(" white russian ",$AA35)),ISNUMBER(SEARCH(" grasshopper ",$AA35)),ISNUMBER(SEARCH(" irish coffee ",$AA35)),ISNUMBER(SEARCH(" ramos gin fizz ",$AA35)),ISNUMBER(SEARCH(" egg nog ",$AA35)),ISNUMBER(SEARCH(" eggnog ",$AA35)))),"?",""))))),"")</f>
        <v>?</v>
      </c>
      <c r="L35" s="233" t="str">
        <f>IF(35=35,IF($B35="","",IF(OR(BQ35="X",OR(OR(TRIM($AA35)="puree pate d amande",TRIM($AA35)="pate puree d amande",TRIM($AA35)="puree d amande",TRIM($AA35)="pate d amande",TRIM($AA35)="pate puree de noisette",TRIM($AA35)="puree pate de noisette",TRIM($AA35)="puree de noisette",TRIM($AA35)="pate de noisette"),ISNUMBER(SEARCH(" macaron ",$AA35)),TRIM($AA35)="fruits a coque")),"X",IF(OR(BQ35="?",OR(ISNUMBER(SEARCH(" sirop d orgeat ",$AA35)),ISNUMBER(SEARCH(" orgeat ",$AA35)),ISNUMBER(SEARCH(" amaretto ",$AA35)))),"?",""))),"")</f>
        <v/>
      </c>
      <c r="M35" s="233" t="str">
        <f>IF(35=35,IF($B35="","",IF(OR(OR(TRIM($AA35)="puree pate d amande",TRIM($AA35)="pate puree d amande",TRIM($AA35)="puree d amande",TRIM($AA35)="pate d amande",TRIM($AA35)="pate puree de noisette",TRIM($AA35)="puree pate de noisette",TRIM($AA35)="puree de noisette",TRIM($AA35)="pate de noisette"),OR(TRIM($AA35)="tahini puree de sesame",TRIM($AA35)="tahini",TRIM($AA35)="puree de sesame")),"",IF(BT35="X","X",IF(OR(BT35="?",ISNUMBER(SEARCH(" bloody mary ",$AA35))),"?","")))),"")</f>
        <v/>
      </c>
      <c r="N35" s="233" t="str">
        <f>IF(35=35,IF($B35="","",IF(OR(OR(TRIM($AA35)="puree pate d amande",TRIM($AA35)="pate puree d amande",TRIM($AA35)="puree d amande",TRIM($AA35)="pate d amande",TRIM($AA35)="pate puree de noisette",TRIM($AA35)="puree pate de noisette",TRIM($AA35)="puree de noisette",TRIM($AA35)="pate de noisette"),OR(TRIM($AA35)="tahini puree de sesame",TRIM($AA35)="tahini",TRIM($AA35)="puree de sesame")),"",IF(BW35="X","X",IF(OR(BW35="?",ISNUMBER(SEARCH(" bloody mary ",$AA35))),"?","")))),"")</f>
        <v/>
      </c>
      <c r="O35" s="233" t="str">
        <f>IF(35=35,IF($B35="","",BZ35),"")</f>
        <v/>
      </c>
      <c r="P35" s="233" t="str">
        <f>IF(35=35,IF($B35="","",CC35),"")</f>
        <v>?</v>
      </c>
      <c r="Q35" s="233" t="str">
        <f>IF(35=35,IF($B35="","",CF35),"")</f>
        <v/>
      </c>
      <c r="R35" s="233" t="str">
        <f>IF(35=35,IF($B35="","",IF(TRIM($AA35)="fruits a coque","",IF(CL35="X","X",IF(OR(CL35="?",OR(ISNUMBER(SEARCH(" clamato ",$AA35)),ISNUMBER(SEARCH(" bloody caesar ",$AA35)))),"?","")))),"")</f>
        <v/>
      </c>
      <c r="S35" s="234" t="str">
        <f>IF(35=35,IF($B35="","",IF(E35="?",""&amp;"Céréales contenant du gluten","")&amp;IF(F35="?",IF(COUNTIF($E35:$E35,"~?")&gt;0,", ","")&amp;"Crustacés","")&amp;IF(G35="?",IF(COUNTIF($E35:$F35,"~?")&gt;0,", ","")&amp;"Œufs","")&amp;IF(H35="?",IF(COUNTIF($E35:$G35,"~?")&gt;0,", ","")&amp;"Poissons","")&amp;IF(I35="?",IF(COUNTIF($E35:$H35,"~?")&gt;0,", ","")&amp;"Arachides","")&amp;IF(J35="?",IF(COUNTIF($E35:$I35,"~?")&gt;0,", ","")&amp;"Soja","")&amp;IF(K35="?",IF(COUNTIF($E35:$J35,"~?")&gt;0,", ","")&amp;"Lait","")&amp;IF(L35="?",IF(COUNTIF($E35:$K35,"~?")&gt;0,", ","")&amp;"Fruits à coque","")&amp;IF(M35="?",IF(COUNTIF($E35:$L35,"~?")&gt;0,", ","")&amp;"Céleri","")&amp;IF(N35="?",IF(COUNTIF($E35:$M35,"~?")&gt;0,", ","")&amp;"Moutarde","")&amp;IF(O35="?",IF(COUNTIF($E35:$N35,"~?")&gt;0,", ","")&amp;"Sésame","")&amp;IF(P35="?",IF(COUNTIF($E35:$O35,"~?")&gt;0,", ","")&amp;"Sulfites","")&amp;IF(Q35="?",IF(COUNTIF($E35:$P35,"~?")&gt;0,", ","")&amp;"Lupin","")&amp;IF(R35="?",IF(COUNTIF($E35:$Q35,"~?")&gt;0,", ","")&amp;"Mollusques","")),"")</f>
        <v>Œufs, Lait, Sulfites</v>
      </c>
      <c r="U35" s="209" t="str">
        <f>IF(35=35,IF($B35="","",$B35),"")</f>
        <v>Vermouth</v>
      </c>
      <c r="V35" s="209" t="str">
        <f>IF(35=35,LOWER(CLEAN(SUBSTITUTE(SUBSTITUTE(SUBSTITUTE(SUBSTITUTE($U35,CHAR(160)," ")," "," "),CHAR(10)," "),CHAR(13)," "))),"")</f>
        <v>vermouth</v>
      </c>
      <c r="W35" s="209" t="str">
        <f>IF(35=35,SUBSTITUTE(SUBSTITUTE(SUBSTITUTE(SUBSTITUTE(SUBSTITUTE(SUBSTITUTE(SUBSTITUTE(SUBSTITUTE(SUBSTITUTE(SUBSTITUTE(SUBSTITUTE(SUBSTITUTE($V35,"œ","oe"),"æ","ae"),"à","a"),"á","a"),"â","a"),"ä","a"),"ã","a"),"ç","c"),"è","e"),"é","e"),"ê","e"),"ë","e"),"")</f>
        <v>vermouth</v>
      </c>
      <c r="X35" s="209" t="str">
        <f>IF(35=35,SUBSTITUTE(SUBSTITUTE(SUBSTITUTE(SUBSTITUTE(SUBSTITUTE(SUBSTITUTE(SUBSTITUTE(SUBSTITUTE(SUBSTITUTE(SUBSTITUTE(SUBSTITUTE(SUBSTITUTE(SUBSTITUTE(SUBSTITUTE(SUBSTITUTE(SUBSTITUTE($W35,"ì","i"),"í","i"),"î","i"),"ï","i"),"ñ","n"),"ò","o"),"ó","o"),"ô","o"),"ö","o"),"õ","o"),"ù","u"),"ú","u"),"û","u"),"ü","u"),"ý","y"),"ÿ","y"),"")</f>
        <v>vermouth</v>
      </c>
      <c r="Y35" s="209" t="str">
        <f>IF(35=35,SUBSTITUTE(SUBSTITUTE(SUBSTITUTE(SUBSTITUTE(SUBSTITUTE(SUBSTITUTE(SUBSTITUTE(SUBSTITUTE(SUBSTITUTE(SUBSTITUTE(SUBSTITUTE(SUBSTITUTE(SUBSTITUTE(SUBSTITUTE($X35,"’"," "),"`"," "),"–"," "),"—"," "),"-"," "),"'"," "),"/"," "),"_"," "),","," "),"."," "),"("," "),")"," "),";"," "),":"," "),"")</f>
        <v>vermouth</v>
      </c>
      <c r="Z35" s="209" t="str">
        <f>IF(35=35,SUBSTITUTE(SUBSTITUTE(SUBSTITUTE(SUBSTITUTE(SUBSTITUTE(SUBSTITUTE(SUBSTITUTE(SUBSTITUTE(SUBSTITUTE(SUBSTITUTE(SUBSTITUTE(SUBSTITUTE(SUBSTITUTE(SUBSTITUTE(SUBSTITUTE($Y35,"!"," "),"?"," "),"+"," "),"*"," "),"&amp;"," "),"["," "),"]"," "),"{"," "),"}"," "),"%"," "),"="," "),"\"," "),"|"," "),"&lt;"," "),"&gt;"," "),"")</f>
        <v>vermouth</v>
      </c>
      <c r="AA35" s="209" t="str">
        <f>IF(35=35," "&amp;TRIM(SUBSTITUTE(SUBSTITUTE(SUBSTITUTE(SUBSTITUTE(SUBSTITUTE(SUBSTITUTE($Z35,CHAR(34)," "),"  "," "),"  "," "),"  "," "),"  "," "),"  "," "))&amp;" ","")</f>
        <v xml:space="preserve"> vermouth </v>
      </c>
      <c r="AB35" s="209">
        <f>IF(35=35,IF($U35="","",SUMPRODUCT(--ISNUMBER(SEARCH(" "&amp;$CR$2:$CR$101&amp;" ",$AD35)))),"")</f>
        <v>0</v>
      </c>
      <c r="AC35" s="209">
        <f>IF(35=35,IF($U35="","",SUMPRODUCT(--ISNUMBER(SEARCH(" "&amp;$CR$102:$CR$151&amp;" ",$AD35)))),"")</f>
        <v>0</v>
      </c>
      <c r="AD35" s="209" t="str">
        <f t="shared" si="1"/>
        <v xml:space="preserve"> vermouth </v>
      </c>
      <c r="AE35" s="209">
        <f t="shared" si="2"/>
        <v>0</v>
      </c>
      <c r="AF35" s="209" t="str">
        <f>IF(35=35,IF($U35="","",IF(SUM(AB35:AC35)+SUMPRODUCT(--ISNUMBER(SEARCH(" "&amp;$CR$2418:$CR$2420&amp;" ",$AD35)))&gt;0,"X",IF(AE35&gt;0,"?",""))),"")</f>
        <v/>
      </c>
      <c r="AG35" s="209">
        <f>IF(35=35,IF($U35="","",SUMPRODUCT(--ISNUMBER(SEARCH(" "&amp;$CR$206:$CR$305&amp;" ",$AA35)))),"")</f>
        <v>0</v>
      </c>
      <c r="AH35" s="209">
        <f>IF(35=35,IF($U35="","",SUMPRODUCT(--ISNUMBER(SEARCH(" "&amp;$CR$306:$CR$340&amp;" ",$AA35)))),"")</f>
        <v>0</v>
      </c>
      <c r="AI35" s="209" t="str">
        <f>IF(35=35,IF($U35="","",IF((SUM(AG35:AH35))-(0)&gt;0,"X",IF((0)-(0)&gt;0,"?",""))),"")</f>
        <v/>
      </c>
      <c r="AJ35" s="209">
        <f>IF(35=35,IF($U35="","",SUMPRODUCT(--ISNUMBER(SEARCH(" "&amp;$CR$341:$CR$398&amp;" ",$AA35)))),"")</f>
        <v>0</v>
      </c>
      <c r="AK35" s="209">
        <f>IF(35=35,IF($U35="","",SUMPRODUCT(--ISNUMBER(SEARCH(" "&amp;$CR$399:$CR$426&amp;" ",$AL35)))+SUMPRODUCT(--ISNUMBER(SEARCH(" "&amp;$CR$2440:$CR$2453&amp;" ",$AL35)))),"")</f>
        <v>1</v>
      </c>
      <c r="AL35" s="209" t="str">
        <f>IF(35=35,IF($U35="","",SUBSTITUTE(SUBSTITUTE(SUBSTITUTE(SUBSTITUTE(SUBSTITUTE(SUBSTITUTE(SUBSTITUTE(SUBSTITUTE(SUBSTITUTE(SUBSTITUTE(SUBSTITUTE(SUBSTITUTE(SUBSTITUTE(SUBSTITUTE($AA35,"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vermouth </v>
      </c>
      <c r="AM35" s="209" t="str">
        <f>IF(35=35,IF($U35="","",IF(AJ35&gt;0,"X",IF(AK35&gt;0,"?",""))),"")</f>
        <v>?</v>
      </c>
      <c r="AN35" s="209">
        <f>IF(35=35,IF($U35="","",SUMPRODUCT(--ISNUMBER(SEARCH(" "&amp;$CR$436:$CR$535&amp;" ",$AX35)))),"")</f>
        <v>0</v>
      </c>
      <c r="AO35" s="209">
        <f>IF(35=35,IF($U35="","",SUMPRODUCT(--ISNUMBER(SEARCH(" "&amp;$CR$536:$CR$635&amp;" ",$AX35)))),"")</f>
        <v>0</v>
      </c>
      <c r="AP35" s="209">
        <f>IF(35=35,IF($U35="","",SUMPRODUCT(--ISNUMBER(SEARCH(" "&amp;$CR$636:$CR$735&amp;" ",$AX35)))),"")</f>
        <v>0</v>
      </c>
      <c r="AQ35" s="209">
        <f>IF(35=35,IF($U35="","",SUMPRODUCT(--ISNUMBER(SEARCH(" "&amp;$CR$736:$CR$835&amp;" ",$AX35)))),"")</f>
        <v>0</v>
      </c>
      <c r="AR35" s="209">
        <f>IF(35=35,IF($U35="","",SUMPRODUCT(--ISNUMBER(SEARCH(" "&amp;$CR$836:$CR$935&amp;" ",$AX35)))),"")</f>
        <v>0</v>
      </c>
      <c r="AS35" s="209">
        <f>IF(35=35,IF($U35="","",SUMPRODUCT(--ISNUMBER(SEARCH(" "&amp;$CR$936:$CR$1035&amp;" ",$AX35)))),"")</f>
        <v>0</v>
      </c>
      <c r="AT35" s="209">
        <f>IF(35=35,IF($U35="","",SUMPRODUCT(--ISNUMBER(SEARCH(" "&amp;$CR$1036:$CR$1135&amp;" ",$AX35)))),"")</f>
        <v>0</v>
      </c>
      <c r="AU35" s="209">
        <f>IF(35=35,IF($U35="","",SUMPRODUCT(--ISNUMBER(SEARCH(" "&amp;$CR$1136:$CR$1235&amp;" ",$AX35)))),"")</f>
        <v>0</v>
      </c>
      <c r="AV35" s="209">
        <f>IF(35=35,IF($U35="","",SUMPRODUCT(--ISNUMBER(SEARCH(" "&amp;$CR$1236:$CR$1335&amp;" ",$AX35)))),"")</f>
        <v>0</v>
      </c>
      <c r="AW35" s="209">
        <f>IF(35=35,IF($U35="","",SUMPRODUCT(--ISNUMBER(SEARCH(" "&amp;$CR$1336:$CR$1363&amp;" ",$AX35)))),"")</f>
        <v>0</v>
      </c>
      <c r="AX35" s="209" t="str">
        <f>IF(35=35,IF($U35="","",SUBSTITUTE(SUBSTITUTE(SUBSTITUTE(SUBSTITUTE(SUBSTITUTE(SUBSTITUTE(SUBSTITUTE(SUBSTITUTE(SUBSTITUTE($AA35,"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vermouth </v>
      </c>
      <c r="AY35" s="209">
        <f>IF(35=35,IF($U35="","",SUMPRODUCT(--ISNUMBER(SEARCH(" "&amp;$CR$1373:$CR$1383&amp;" ",$AX35)))),"")</f>
        <v>0</v>
      </c>
      <c r="AZ35" s="209" t="str">
        <f>IF(35=35,IF($U35="","",IF(SUM(AN35:AW35)+SUMPRODUCT(--ISNUMBER(SEARCH(" "&amp;$CR$2421:$CR$2422&amp;" ",$AX35)))&gt;0,"X",IF(AY35&gt;0,"?",""))),"")</f>
        <v/>
      </c>
      <c r="BA35" s="209">
        <f>IF(35=35,IF($U35="","",SUMPRODUCT(--ISNUMBER(SEARCH(" "&amp;$CR$1384:$CR$1404&amp;" ",$AA35)))),"")</f>
        <v>0</v>
      </c>
      <c r="BB35" s="209" t="str">
        <f>IF(35=35,IF($U35="","",IF((BA35)-(0)&gt;0,"X",IF((0)-(0)&gt;0,"?",""))),"")</f>
        <v/>
      </c>
      <c r="BC35" s="209">
        <f>IF(35=35,IF($U35="","",SUMPRODUCT(--ISNUMBER(SEARCH(" "&amp;$CR$1405:$CR$1442&amp;" ",$BD35)))),"")</f>
        <v>0</v>
      </c>
      <c r="BD35" s="209" t="str">
        <f>IF(35=35,IF($U35="","",SUBSTITUTE(SUBSTITUTE($AA35," "&amp;$CR$1443&amp;" "," ")," "&amp;$CR$1444&amp;" "," ")),"")</f>
        <v xml:space="preserve"> vermouth </v>
      </c>
      <c r="BE35" s="209">
        <f>IF(35=35,IF($U35="","",SUMPRODUCT(--ISNUMBER(SEARCH(" "&amp;$CR$1445:$CR$1455&amp;" ",$BD35)))),"")</f>
        <v>0</v>
      </c>
      <c r="BF35" s="209" t="str">
        <f>IF(35=35,IF($U35="","",IF(BC35&gt;0,"X",IF(BE35&gt;0,"?",""))),"")</f>
        <v/>
      </c>
      <c r="BG35" s="209">
        <f>IF(35=35,IF($U35="","",SUMPRODUCT(--ISNUMBER(SEARCH(" "&amp;$CR$1456:$CR$1555&amp;" ",$BJ35)))),"")</f>
        <v>0</v>
      </c>
      <c r="BH35" s="209">
        <f>IF(35=35,IF($U35="","",SUMPRODUCT(--ISNUMBER(SEARCH(" "&amp;$CR$1556:$CR$1655&amp;" ",$BJ35)))),"")</f>
        <v>0</v>
      </c>
      <c r="BI35" s="209">
        <f>IF(35=35,IF($U35="","",SUMPRODUCT(--ISNUMBER(SEARCH(" "&amp;$CR$1656:$CR$1739&amp;" ",$BJ35)))),"")</f>
        <v>0</v>
      </c>
      <c r="BJ35" s="209" t="str">
        <f>IF(35=35,IF($U35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35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vermouth </v>
      </c>
      <c r="BK35" s="209">
        <f>IF(35=35,IF($U35="","",SUMPRODUCT(--ISNUMBER(SEARCH(" "&amp;$CR$1790:$CR$1869&amp;" ",$BL35)))+SUMPRODUCT(--ISNUMBER(SEARCH(" "&amp;$CR$2440:$CR$2453&amp;" ",$BL35)))),"")</f>
        <v>1</v>
      </c>
      <c r="BL35" s="209" t="str">
        <f>IF(35=35,IF($U35="","",SUBSTITUTE(SUBSTITUTE(SUBSTITUTE(SUBSTITUTE(SUBSTITUTE(SUBSTITUTE(SUBSTITUTE(SUBSTITUTE(SUBSTITUTE(SUBSTITUTE(SUBSTITUTE(SUBSTITUTE(SUBSTITUTE($BJ35,"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vermouth </v>
      </c>
      <c r="BM35" s="209" t="str">
        <f>IF(35=35,IF($U35="","",IF(SUM(BG35:BI35)+SUMPRODUCT(--ISNUMBER(SEARCH(" "&amp;$CR$2423:$CR$2424&amp;" ",$BJ35)))&gt;0,"X",IF(BK35&gt;0,"?",""))),"")</f>
        <v>?</v>
      </c>
      <c r="BN35" s="209">
        <f>IF(35=35,IF($U35="","",SUMPRODUCT(--ISNUMBER(SEARCH(" "&amp;$CR$1879:$CR$1936&amp;" ",$BO35)))),"")</f>
        <v>0</v>
      </c>
      <c r="BO35" s="209" t="str">
        <f>IF(35=35,IF($U35="","",SUBSTITUTE(SUBSTITUTE(SUBSTITUTE(SUBSTITUTE(SUBSTITUTE(SUBSTITUTE(SUBSTITUTE(SUBSTITUTE(SUBSTITUTE(SUBSTITUTE(SUBSTITUTE(SUBSTITUTE(SUBSTITUTE(SUBSTITUTE(SUBSTITUTE(SUBSTITUTE(SUBSTITUTE(SUBSTITUTE(SUBSTITUTE(SUBSTITUTE(SUBSTITUTE(SUBSTITUTE(SUBSTITUTE($AA35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vermouth </v>
      </c>
      <c r="BP35" s="209">
        <f>IF(35=35,IF($U35="","",SUMPRODUCT(--ISNUMBER(SEARCH(" "&amp;$CR$1960:$CR$1976&amp;" ",$BO35)))),"")</f>
        <v>0</v>
      </c>
      <c r="BQ35" s="209" t="str">
        <f>IF(35=35,IF($U35="","",IF(BN35&gt;0,"X",IF(BP35&gt;0,"?",""))),"")</f>
        <v/>
      </c>
      <c r="BR35" s="209">
        <f>IF(35=35,IF($U35="","",SUMPRODUCT(--ISNUMBER(SEARCH(" "&amp;$CR$1977:$CR$1990&amp;" ",$AA35)))),"")</f>
        <v>0</v>
      </c>
      <c r="BS35" s="209">
        <f>IF(35=35,IF($U35="","",SUMPRODUCT(--ISNUMBER(SEARCH(" "&amp;$CR$1991:$CR$2005&amp;" ",$AA35)))),"")</f>
        <v>0</v>
      </c>
      <c r="BT35" s="209" t="str">
        <f>IF(35=35,IF($U35="","",IF((BR35)-(0)&gt;0,"X",IF((BS35)-(0)&gt;0,"?",""))),"")</f>
        <v/>
      </c>
      <c r="BU35" s="209">
        <f>IF(35=35,IF($U35="","",SUMPRODUCT(--ISNUMBER(SEARCH(" "&amp;$CR$2006:$CR$2023&amp;" ",$AA35)))),"")</f>
        <v>0</v>
      </c>
      <c r="BV35" s="209">
        <f>IF(35=35,IF($U35="","",SUMPRODUCT(--ISNUMBER(SEARCH(" "&amp;$CR$2024:$CR$2038&amp;" ",$AA35)))),"")</f>
        <v>0</v>
      </c>
      <c r="BW35" s="209" t="str">
        <f>IF(35=35,IF($U35="","",IF((BU35)-(0)&gt;0,"X",IF((BV35)-(0)&gt;0,"?",""))),"")</f>
        <v/>
      </c>
      <c r="BX35" s="209">
        <f>IF(35=35,IF($U35="","",SUMPRODUCT(--ISNUMBER(SEARCH(" "&amp;$CR$2039:$CR$2057&amp;" ",$AA35)))),"")</f>
        <v>0</v>
      </c>
      <c r="BY35" s="209">
        <f>IF(35=35,IF($U35="","",SUMPRODUCT(--ISNUMBER(SEARCH(" "&amp;$CR$2058:$CR$2072&amp;" ",$AA35)))),"")</f>
        <v>0</v>
      </c>
      <c r="BZ35" s="209" t="str">
        <f>IF(35=35,IF($U35="","",IF((BX35)-(0)&gt;0,"X",IF((BY35)-(0)&gt;0,"?",""))),"")</f>
        <v/>
      </c>
      <c r="CA35" s="209">
        <f>IF(35=35,IF($U35="","",SUMPRODUCT(--ISNUMBER(SEARCH(" "&amp;$CR$2073:$CR$2093&amp;" ",$AA35)))),"")</f>
        <v>0</v>
      </c>
      <c r="CB35" s="209">
        <f>IF(35=35,IF($U35="","",SUMPRODUCT(--ISNUMBER(SEARCH(" "&amp;$CR$2094:$CR$2133&amp;" ",SUBSTITUTE(SUBSTITUTE($AA35," "&amp;$CR$1367&amp;" "," ")," "&amp;$CR$1366&amp;" "," "))))+--ISNUMBER(SEARCH("poiré",$V35))),"")</f>
        <v>1</v>
      </c>
      <c r="CC35" s="209" t="str">
        <f>IF(35=35,IF($U35="","",IF(OR(CA35&gt;0,ISNUMBER(SEARCH(" vinaigre de vin ",$AA35)),ISNUMBER(SEARCH(" vinaigre au vin ",$AA35))),"X",IF(CB35&gt;0,"?",""))),"")</f>
        <v>?</v>
      </c>
      <c r="CD35" s="209">
        <f>IF(35=35,IF($U35="","",SUMPRODUCT(--ISNUMBER(SEARCH(" "&amp;$CR$2134:$CR$2146&amp;" ",$AA35)))),"")</f>
        <v>0</v>
      </c>
      <c r="CE35" s="209">
        <f>IF(35=35,IF($U35="","",SUMPRODUCT(--ISNUMBER(SEARCH(" "&amp;$CR$2147:$CR$2152&amp;" ",$AA35)))),"")</f>
        <v>0</v>
      </c>
      <c r="CF35" s="209" t="str">
        <f>IF(35=35,IF($U35="","",IF((CD35)-(0)&gt;0,"X",IF((CE35)-(0)&gt;0,"?",""))),"")</f>
        <v/>
      </c>
      <c r="CG35" s="209">
        <f>IF(35=35,IF($U35="","",SUMPRODUCT(--ISNUMBER(SEARCH(" "&amp;$CR$2153:$CR$2252&amp;" ",$CJ35)))),"")</f>
        <v>0</v>
      </c>
      <c r="CH35" s="209">
        <f>IF(35=35,IF($U35="","",SUMPRODUCT(--ISNUMBER(SEARCH(" "&amp;$CR$2253:$CR$2352&amp;" ",$CJ35)))),"")</f>
        <v>0</v>
      </c>
      <c r="CI35" s="209">
        <f>IF(35=35,IF($U35="","",SUMPRODUCT(--ISNUMBER(SEARCH(" "&amp;$CR$2353:$CR$2395&amp;" ",$CJ35)))),"")</f>
        <v>0</v>
      </c>
      <c r="CJ35" s="209" t="str">
        <f>IF(35=35,IF($U35="","",SUBSTITUTE(SUBSTITUTE(SUBSTITUTE(SUBSTITUTE(SUBSTITUTE(SUBSTITUTE(SUBSTITUTE(SUBSTITUTE(SUBSTITUTE(SUBSTITUTE(SUBSTITUTE(SUBSTITUTE(SUBSTITUTE(SUBSTITUTE(SUBSTITUTE(SUBSTITUTE($AA35,"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vermouth </v>
      </c>
      <c r="CK35" s="209">
        <f>IF(35=35,IF($U35="","",SUMPRODUCT(--ISNUMBER(SEARCH(" "&amp;$CR$2412:$CR$2416&amp;" ",$CJ35)))),"")</f>
        <v>0</v>
      </c>
      <c r="CL35" s="209" t="str">
        <f>IF(35=35,IF($U35="","",IF(SUM(CG35:CI35)&gt;0,"X",IF(CK35&gt;0,"?",""))),"")</f>
        <v/>
      </c>
      <c r="CM35" s="210"/>
      <c r="CN35" s="213" t="s">
        <v>1039</v>
      </c>
      <c r="CO35" s="213" t="s">
        <v>878</v>
      </c>
      <c r="CP35" s="213" t="s">
        <v>879</v>
      </c>
      <c r="CQ35" s="213" t="s">
        <v>1040</v>
      </c>
      <c r="CR35" s="213" t="s">
        <v>1040</v>
      </c>
      <c r="CS35" s="213" t="s">
        <v>881</v>
      </c>
      <c r="CT35" s="213" t="s">
        <v>882</v>
      </c>
      <c r="CU35" s="213" t="s">
        <v>883</v>
      </c>
      <c r="CV35" s="214" t="s">
        <v>884</v>
      </c>
      <c r="CX35" s="212">
        <v>1</v>
      </c>
    </row>
    <row r="36" spans="1:102" ht="21" customHeight="1">
      <c r="A36" s="229">
        <v>30</v>
      </c>
      <c r="B36" s="230" t="s">
        <v>6572</v>
      </c>
      <c r="C36" s="231" t="str">
        <f t="shared" si="0"/>
        <v>Porto / Xérès / Madère / VDN ?</v>
      </c>
      <c r="D36" s="232" t="str">
        <f>IF(36=36,IF($B36="","",IF(E36="X",""&amp;"Céréales contenant du gluten","")&amp;IF(F36="X",IF(COUNTIF($E36:$E36,"X")&gt;0,", ","")&amp;"Crustacés","")&amp;IF(G36="X",IF(COUNTIF($E36:$F36,"X")&gt;0,", ","")&amp;"Œufs","")&amp;IF(H36="X",IF(COUNTIF($E36:$G36,"X")&gt;0,", ","")&amp;"Poissons","")&amp;IF(I36="X",IF(COUNTIF($E36:$H36,"X")&gt;0,", ","")&amp;"Arachides","")&amp;IF(J36="X",IF(COUNTIF($E36:$I36,"X")&gt;0,", ","")&amp;"Soja","")&amp;IF(K36="X",IF(COUNTIF($E36:$J36,"X")&gt;0,", ","")&amp;"Lait","")&amp;IF(L36="X",IF(COUNTIF($E36:$K36,"X")&gt;0,", ","")&amp;"Fruits à coque","")&amp;IF(M36="X",IF(COUNTIF($E36:$L36,"X")&gt;0,", ","")&amp;"Céleri","")&amp;IF(N36="X",IF(COUNTIF($E36:$M36,"X")&gt;0,", ","")&amp;"Moutarde","")&amp;IF(O36="X",IF(COUNTIF($E36:$N36,"X")&gt;0,", ","")&amp;"Sésame","")&amp;IF(P36="X",IF(COUNTIF($E36:$O36,"X")&gt;0,", ","")&amp;"Sulfites","")&amp;IF(Q36="X",IF(COUNTIF($E36:$P36,"X")&gt;0,", ","")&amp;"Lupin","")&amp;IF(R36="X",IF(COUNTIF($E36:$Q36,"X")&gt;0,", ","")&amp;"Mollusques","")),"")</f>
        <v/>
      </c>
      <c r="E36" s="233" t="str">
        <f>IF(36=36,IF($B36="","",IF(OR(ISNUMBER(SEARCH(" biere sans gluten ",$AA36)),ISNUMBER(SEARCH(" gluten free beer ",$AA36)),ISNUMBER(SEARCH(" beer gluten free ",$AA36))),"",IF(AF36="X","X",IF(OR(AF36="?",OR(ISNUMBER(SEARCH(" worcestershire ",$AA36)),ISNUMBER(SEARCH(" bloody mary ",$AA36)))),"?","")))),"")</f>
        <v/>
      </c>
      <c r="F36" s="233" t="str">
        <f>IF(36=36,IF($B36="","",AI36),"")</f>
        <v/>
      </c>
      <c r="G36" s="233" t="str">
        <f>IF(36=36,IF($B36="","",IF(OR(TRIM($AA36)="puree pate d amande",TRIM($AA36)="pate puree d amande",TRIM($AA36)="puree d amande",TRIM($AA36)="pate d amande",TRIM($AA36)="pate puree de noisette",TRIM($AA36)="puree pate de noisette",TRIM($AA36)="puree de noisette",TRIM($AA36)="pate de noisette"),"",IF(OR(AM36="X",OR(ISNUMBER(SEARCH(" macaron ",$AA36)),ISNUMBER(SEARCH(" egg nog ",$AA36)),ISNUMBER(SEARCH(" eggnog ",$AA36)))),"X",IF(OR(AM36="?",OR(ISNUMBER(SEARCH(" biscuit decoratif ",$AA36)),ISNUMBER(SEARCH(" whisky sour ",$AA36)),ISNUMBER(SEARCH(" whiskey sour ",$AA36)),ISNUMBER(SEARCH(" amaretto sour ",$AA36)),ISNUMBER(SEARCH(" pisco sour ",$AA36)),ISNUMBER(SEARCH(" clover club ",$AA36)),ISNUMBER(SEARCH(" ramos gin fizz ",$AA36)))),"?","")))),"")</f>
        <v>?</v>
      </c>
      <c r="H36" s="233" t="str">
        <f>IF(36=36,IF($B36="","",IF(ISNUMBER(SEARCH(" colin ",$AA36)),"X",IF(AZ36="X","X",IF(OR(AZ36="?",OR(ISNUMBER(SEARCH(" worcestershire ",$AA36)),ISNUMBER(SEARCH(" bloody mary ",$AA36)))),"?","")))),"")</f>
        <v/>
      </c>
      <c r="I36" s="233" t="str">
        <f>IF(36=36,IF($B36="","",BB36),"")</f>
        <v/>
      </c>
      <c r="J36" s="233" t="str">
        <f>IF(36=36,IF($B36="","",BF36),"")</f>
        <v/>
      </c>
      <c r="K36" s="233" t="str">
        <f>IF(36=36,IF($B36="","",IF(OR(OR(TRIM($AA36)="puree pate d amande",TRIM($AA36)="pate puree d amande",TRIM($AA36)="puree d amande",TRIM($AA36)="pate d amande",TRIM($AA36)="pate puree de noisette",TRIM($AA36)="puree pate de noisette",TRIM($AA36)="puree de noisette",TRIM($AA36)="pate de noisette"),OR(TRIM($AA36)="beurre puree d arachide",TRIM($AA36)="beurre d arachide",TRIM($AA36)="puree d arachide"),OR(TRIM($AA36)="tahini puree de sesame",TRIM($AA36)="tahini",TRIM($AA36)="puree de sesame")),"",IF(OR(TRIM($AA36)="creme de cassis",TRIM($AA36)="creme de menthe",TRIM($AA36)="creme de cacao",TRIM($AA36)="creme de mure",TRIM($AA36)="creme de framboise",TRIM($AA36)="creme de peche",TRIM($AA36)="creme de banane",TRIM($AA36)="liqueur creme de coco",TRIM($AA36)="creme de coco",TRIM($AA36)="spiritueux aromatise arrange creme de spiritueux"),"?",IF(OR(BM36="X",OR(ISNUMBER(SEARCH(" baileys ",$AA36)),ISNUMBER(SEARCH(" irish cream ",$AA36)),ISNUMBER(SEARCH(" creme de whisky ",$AA36)))),"X",IF(OR(BM36="?",OR(OR(TRIM($AA36)="creme de cassis",TRIM($AA36)="creme de menthe",TRIM($AA36)="creme de cacao",TRIM($AA36)="creme de mure",TRIM($AA36)="creme de framboise",TRIM($AA36)="creme de peche",TRIM($AA36)="creme de banane",TRIM($AA36)="liqueur creme de coco",TRIM($AA36)="creme de coco",TRIM($AA36)="spiritueux aromatise arrange creme de spiritueux"),ISNUMBER(SEARCH(" advocaat ",$AA36)),ISNUMBER(SEARCH(" liqueur aux oeufs ",$AA36)),ISNUMBER(SEARCH(" liqueur de chocolat ",$AA36)),ISNUMBER(SEARCH(" liqueur de caramel ",$AA36)),ISNUMBER(SEARCH(" sauce nappage chocolat ",$AA36)),ISNUMBER(SEARCH(" biscuit decoratif ",$AA36)),ISNUMBER(SEARCH(" white russian ",$AA36)),ISNUMBER(SEARCH(" grasshopper ",$AA36)),ISNUMBER(SEARCH(" irish coffee ",$AA36)),ISNUMBER(SEARCH(" ramos gin fizz ",$AA36)),ISNUMBER(SEARCH(" egg nog ",$AA36)),ISNUMBER(SEARCH(" eggnog ",$AA36)))),"?",""))))),"")</f>
        <v>?</v>
      </c>
      <c r="L36" s="233" t="str">
        <f>IF(36=36,IF($B36="","",IF(OR(BQ36="X",OR(OR(TRIM($AA36)="puree pate d amande",TRIM($AA36)="pate puree d amande",TRIM($AA36)="puree d amande",TRIM($AA36)="pate d amande",TRIM($AA36)="pate puree de noisette",TRIM($AA36)="puree pate de noisette",TRIM($AA36)="puree de noisette",TRIM($AA36)="pate de noisette"),ISNUMBER(SEARCH(" macaron ",$AA36)),TRIM($AA36)="fruits a coque")),"X",IF(OR(BQ36="?",OR(ISNUMBER(SEARCH(" sirop d orgeat ",$AA36)),ISNUMBER(SEARCH(" orgeat ",$AA36)),ISNUMBER(SEARCH(" amaretto ",$AA36)))),"?",""))),"")</f>
        <v/>
      </c>
      <c r="M36" s="233" t="str">
        <f>IF(36=36,IF($B36="","",IF(OR(OR(TRIM($AA36)="puree pate d amande",TRIM($AA36)="pate puree d amande",TRIM($AA36)="puree d amande",TRIM($AA36)="pate d amande",TRIM($AA36)="pate puree de noisette",TRIM($AA36)="puree pate de noisette",TRIM($AA36)="puree de noisette",TRIM($AA36)="pate de noisette"),OR(TRIM($AA36)="tahini puree de sesame",TRIM($AA36)="tahini",TRIM($AA36)="puree de sesame")),"",IF(BT36="X","X",IF(OR(BT36="?",ISNUMBER(SEARCH(" bloody mary ",$AA36))),"?","")))),"")</f>
        <v/>
      </c>
      <c r="N36" s="233" t="str">
        <f>IF(36=36,IF($B36="","",IF(OR(OR(TRIM($AA36)="puree pate d amande",TRIM($AA36)="pate puree d amande",TRIM($AA36)="puree d amande",TRIM($AA36)="pate d amande",TRIM($AA36)="pate puree de noisette",TRIM($AA36)="puree pate de noisette",TRIM($AA36)="puree de noisette",TRIM($AA36)="pate de noisette"),OR(TRIM($AA36)="tahini puree de sesame",TRIM($AA36)="tahini",TRIM($AA36)="puree de sesame")),"",IF(BW36="X","X",IF(OR(BW36="?",ISNUMBER(SEARCH(" bloody mary ",$AA36))),"?","")))),"")</f>
        <v/>
      </c>
      <c r="O36" s="233" t="str">
        <f>IF(36=36,IF($B36="","",BZ36),"")</f>
        <v/>
      </c>
      <c r="P36" s="233" t="str">
        <f>IF(36=36,IF($B36="","",CC36),"")</f>
        <v>?</v>
      </c>
      <c r="Q36" s="233" t="str">
        <f>IF(36=36,IF($B36="","",CF36),"")</f>
        <v/>
      </c>
      <c r="R36" s="233" t="str">
        <f>IF(36=36,IF($B36="","",IF(TRIM($AA36)="fruits a coque","",IF(CL36="X","X",IF(OR(CL36="?",OR(ISNUMBER(SEARCH(" clamato ",$AA36)),ISNUMBER(SEARCH(" bloody caesar ",$AA36)))),"?","")))),"")</f>
        <v/>
      </c>
      <c r="S36" s="234" t="str">
        <f>IF(36=36,IF($B36="","",IF(E36="?",""&amp;"Céréales contenant du gluten","")&amp;IF(F36="?",IF(COUNTIF($E36:$E36,"~?")&gt;0,", ","")&amp;"Crustacés","")&amp;IF(G36="?",IF(COUNTIF($E36:$F36,"~?")&gt;0,", ","")&amp;"Œufs","")&amp;IF(H36="?",IF(COUNTIF($E36:$G36,"~?")&gt;0,", ","")&amp;"Poissons","")&amp;IF(I36="?",IF(COUNTIF($E36:$H36,"~?")&gt;0,", ","")&amp;"Arachides","")&amp;IF(J36="?",IF(COUNTIF($E36:$I36,"~?")&gt;0,", ","")&amp;"Soja","")&amp;IF(K36="?",IF(COUNTIF($E36:$J36,"~?")&gt;0,", ","")&amp;"Lait","")&amp;IF(L36="?",IF(COUNTIF($E36:$K36,"~?")&gt;0,", ","")&amp;"Fruits à coque","")&amp;IF(M36="?",IF(COUNTIF($E36:$L36,"~?")&gt;0,", ","")&amp;"Céleri","")&amp;IF(N36="?",IF(COUNTIF($E36:$M36,"~?")&gt;0,", ","")&amp;"Moutarde","")&amp;IF(O36="?",IF(COUNTIF($E36:$N36,"~?")&gt;0,", ","")&amp;"Sésame","")&amp;IF(P36="?",IF(COUNTIF($E36:$O36,"~?")&gt;0,", ","")&amp;"Sulfites","")&amp;IF(Q36="?",IF(COUNTIF($E36:$P36,"~?")&gt;0,", ","")&amp;"Lupin","")&amp;IF(R36="?",IF(COUNTIF($E36:$Q36,"~?")&gt;0,", ","")&amp;"Mollusques","")),"")</f>
        <v>Œufs, Lait, Sulfites</v>
      </c>
      <c r="U36" s="209" t="str">
        <f>IF(36=36,IF($B36="","",$B36),"")</f>
        <v>Porto / Xérès / Madère / VDN</v>
      </c>
      <c r="V36" s="209" t="str">
        <f>IF(36=36,LOWER(CLEAN(SUBSTITUTE(SUBSTITUTE(SUBSTITUTE(SUBSTITUTE($U36,CHAR(160)," ")," "," "),CHAR(10)," "),CHAR(13)," "))),"")</f>
        <v>porto / xérès / madère / vdn</v>
      </c>
      <c r="W36" s="209" t="str">
        <f>IF(36=36,SUBSTITUTE(SUBSTITUTE(SUBSTITUTE(SUBSTITUTE(SUBSTITUTE(SUBSTITUTE(SUBSTITUTE(SUBSTITUTE(SUBSTITUTE(SUBSTITUTE(SUBSTITUTE(SUBSTITUTE($V36,"œ","oe"),"æ","ae"),"à","a"),"á","a"),"â","a"),"ä","a"),"ã","a"),"ç","c"),"è","e"),"é","e"),"ê","e"),"ë","e"),"")</f>
        <v>porto / xeres / madere / vdn</v>
      </c>
      <c r="X36" s="209" t="str">
        <f>IF(36=36,SUBSTITUTE(SUBSTITUTE(SUBSTITUTE(SUBSTITUTE(SUBSTITUTE(SUBSTITUTE(SUBSTITUTE(SUBSTITUTE(SUBSTITUTE(SUBSTITUTE(SUBSTITUTE(SUBSTITUTE(SUBSTITUTE(SUBSTITUTE(SUBSTITUTE(SUBSTITUTE($W36,"ì","i"),"í","i"),"î","i"),"ï","i"),"ñ","n"),"ò","o"),"ó","o"),"ô","o"),"ö","o"),"õ","o"),"ù","u"),"ú","u"),"û","u"),"ü","u"),"ý","y"),"ÿ","y"),"")</f>
        <v>porto / xeres / madere / vdn</v>
      </c>
      <c r="Y36" s="209" t="str">
        <f>IF(36=36,SUBSTITUTE(SUBSTITUTE(SUBSTITUTE(SUBSTITUTE(SUBSTITUTE(SUBSTITUTE(SUBSTITUTE(SUBSTITUTE(SUBSTITUTE(SUBSTITUTE(SUBSTITUTE(SUBSTITUTE(SUBSTITUTE(SUBSTITUTE($X36,"’"," "),"`"," "),"–"," "),"—"," "),"-"," "),"'"," "),"/"," "),"_"," "),","," "),"."," "),"("," "),")"," "),";"," "),":"," "),"")</f>
        <v>porto   xeres   madere   vdn</v>
      </c>
      <c r="Z36" s="209" t="str">
        <f>IF(36=36,SUBSTITUTE(SUBSTITUTE(SUBSTITUTE(SUBSTITUTE(SUBSTITUTE(SUBSTITUTE(SUBSTITUTE(SUBSTITUTE(SUBSTITUTE(SUBSTITUTE(SUBSTITUTE(SUBSTITUTE(SUBSTITUTE(SUBSTITUTE(SUBSTITUTE($Y36,"!"," "),"?"," "),"+"," "),"*"," "),"&amp;"," "),"["," "),"]"," "),"{"," "),"}"," "),"%"," "),"="," "),"\"," "),"|"," "),"&lt;"," "),"&gt;"," "),"")</f>
        <v>porto   xeres   madere   vdn</v>
      </c>
      <c r="AA36" s="209" t="str">
        <f>IF(36=36," "&amp;TRIM(SUBSTITUTE(SUBSTITUTE(SUBSTITUTE(SUBSTITUTE(SUBSTITUTE(SUBSTITUTE($Z36,CHAR(34)," "),"  "," "),"  "," "),"  "," "),"  "," "),"  "," "))&amp;" ","")</f>
        <v xml:space="preserve"> porto xeres madere vdn </v>
      </c>
      <c r="AB36" s="209">
        <f>IF(36=36,IF($U36="","",SUMPRODUCT(--ISNUMBER(SEARCH(" "&amp;$CR$2:$CR$101&amp;" ",$AD36)))),"")</f>
        <v>0</v>
      </c>
      <c r="AC36" s="209">
        <f>IF(36=36,IF($U36="","",SUMPRODUCT(--ISNUMBER(SEARCH(" "&amp;$CR$102:$CR$151&amp;" ",$AD36)))),"")</f>
        <v>0</v>
      </c>
      <c r="AD36" s="209" t="str">
        <f t="shared" si="1"/>
        <v xml:space="preserve"> porto xeres madere vdn </v>
      </c>
      <c r="AE36" s="209">
        <f t="shared" si="2"/>
        <v>0</v>
      </c>
      <c r="AF36" s="209" t="str">
        <f>IF(36=36,IF($U36="","",IF(SUM(AB36:AC36)+SUMPRODUCT(--ISNUMBER(SEARCH(" "&amp;$CR$2418:$CR$2420&amp;" ",$AD36)))&gt;0,"X",IF(AE36&gt;0,"?",""))),"")</f>
        <v/>
      </c>
      <c r="AG36" s="209">
        <f>IF(36=36,IF($U36="","",SUMPRODUCT(--ISNUMBER(SEARCH(" "&amp;$CR$206:$CR$305&amp;" ",$AA36)))),"")</f>
        <v>0</v>
      </c>
      <c r="AH36" s="209">
        <f>IF(36=36,IF($U36="","",SUMPRODUCT(--ISNUMBER(SEARCH(" "&amp;$CR$306:$CR$340&amp;" ",$AA36)))),"")</f>
        <v>0</v>
      </c>
      <c r="AI36" s="209" t="str">
        <f>IF(36=36,IF($U36="","",IF((SUM(AG36:AH36))-(0)&gt;0,"X",IF((0)-(0)&gt;0,"?",""))),"")</f>
        <v/>
      </c>
      <c r="AJ36" s="209">
        <f>IF(36=36,IF($U36="","",SUMPRODUCT(--ISNUMBER(SEARCH(" "&amp;$CR$341:$CR$398&amp;" ",$AA36)))),"")</f>
        <v>0</v>
      </c>
      <c r="AK36" s="209">
        <f>IF(36=36,IF($U36="","",SUMPRODUCT(--ISNUMBER(SEARCH(" "&amp;$CR$399:$CR$426&amp;" ",$AL36)))+SUMPRODUCT(--ISNUMBER(SEARCH(" "&amp;$CR$2440:$CR$2453&amp;" ",$AL36)))),"")</f>
        <v>3</v>
      </c>
      <c r="AL36" s="209" t="str">
        <f>IF(36=36,IF($U36="","",SUBSTITUTE(SUBSTITUTE(SUBSTITUTE(SUBSTITUTE(SUBSTITUTE(SUBSTITUTE(SUBSTITUTE(SUBSTITUTE(SUBSTITUTE(SUBSTITUTE(SUBSTITUTE(SUBSTITUTE(SUBSTITUTE(SUBSTITUTE($AA36,"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porto xeres madere vdn </v>
      </c>
      <c r="AM36" s="209" t="str">
        <f>IF(36=36,IF($U36="","",IF(AJ36&gt;0,"X",IF(AK36&gt;0,"?",""))),"")</f>
        <v>?</v>
      </c>
      <c r="AN36" s="209">
        <f>IF(36=36,IF($U36="","",SUMPRODUCT(--ISNUMBER(SEARCH(" "&amp;$CR$436:$CR$535&amp;" ",$AX36)))),"")</f>
        <v>0</v>
      </c>
      <c r="AO36" s="209">
        <f>IF(36=36,IF($U36="","",SUMPRODUCT(--ISNUMBER(SEARCH(" "&amp;$CR$536:$CR$635&amp;" ",$AX36)))),"")</f>
        <v>0</v>
      </c>
      <c r="AP36" s="209">
        <f>IF(36=36,IF($U36="","",SUMPRODUCT(--ISNUMBER(SEARCH(" "&amp;$CR$636:$CR$735&amp;" ",$AX36)))),"")</f>
        <v>0</v>
      </c>
      <c r="AQ36" s="209">
        <f>IF(36=36,IF($U36="","",SUMPRODUCT(--ISNUMBER(SEARCH(" "&amp;$CR$736:$CR$835&amp;" ",$AX36)))),"")</f>
        <v>0</v>
      </c>
      <c r="AR36" s="209">
        <f>IF(36=36,IF($U36="","",SUMPRODUCT(--ISNUMBER(SEARCH(" "&amp;$CR$836:$CR$935&amp;" ",$AX36)))),"")</f>
        <v>0</v>
      </c>
      <c r="AS36" s="209">
        <f>IF(36=36,IF($U36="","",SUMPRODUCT(--ISNUMBER(SEARCH(" "&amp;$CR$936:$CR$1035&amp;" ",$AX36)))),"")</f>
        <v>0</v>
      </c>
      <c r="AT36" s="209">
        <f>IF(36=36,IF($U36="","",SUMPRODUCT(--ISNUMBER(SEARCH(" "&amp;$CR$1036:$CR$1135&amp;" ",$AX36)))),"")</f>
        <v>0</v>
      </c>
      <c r="AU36" s="209">
        <f>IF(36=36,IF($U36="","",SUMPRODUCT(--ISNUMBER(SEARCH(" "&amp;$CR$1136:$CR$1235&amp;" ",$AX36)))),"")</f>
        <v>0</v>
      </c>
      <c r="AV36" s="209">
        <f>IF(36=36,IF($U36="","",SUMPRODUCT(--ISNUMBER(SEARCH(" "&amp;$CR$1236:$CR$1335&amp;" ",$AX36)))),"")</f>
        <v>0</v>
      </c>
      <c r="AW36" s="209">
        <f>IF(36=36,IF($U36="","",SUMPRODUCT(--ISNUMBER(SEARCH(" "&amp;$CR$1336:$CR$1363&amp;" ",$AX36)))),"")</f>
        <v>0</v>
      </c>
      <c r="AX36" s="209" t="str">
        <f>IF(36=36,IF($U36="","",SUBSTITUTE(SUBSTITUTE(SUBSTITUTE(SUBSTITUTE(SUBSTITUTE(SUBSTITUTE(SUBSTITUTE(SUBSTITUTE(SUBSTITUTE($AA36,"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porto xeres madere vdn </v>
      </c>
      <c r="AY36" s="209">
        <f>IF(36=36,IF($U36="","",SUMPRODUCT(--ISNUMBER(SEARCH(" "&amp;$CR$1373:$CR$1383&amp;" ",$AX36)))),"")</f>
        <v>0</v>
      </c>
      <c r="AZ36" s="209" t="str">
        <f>IF(36=36,IF($U36="","",IF(SUM(AN36:AW36)+SUMPRODUCT(--ISNUMBER(SEARCH(" "&amp;$CR$2421:$CR$2422&amp;" ",$AX36)))&gt;0,"X",IF(AY36&gt;0,"?",""))),"")</f>
        <v/>
      </c>
      <c r="BA36" s="209">
        <f>IF(36=36,IF($U36="","",SUMPRODUCT(--ISNUMBER(SEARCH(" "&amp;$CR$1384:$CR$1404&amp;" ",$AA36)))),"")</f>
        <v>0</v>
      </c>
      <c r="BB36" s="209" t="str">
        <f>IF(36=36,IF($U36="","",IF((BA36)-(0)&gt;0,"X",IF((0)-(0)&gt;0,"?",""))),"")</f>
        <v/>
      </c>
      <c r="BC36" s="209">
        <f>IF(36=36,IF($U36="","",SUMPRODUCT(--ISNUMBER(SEARCH(" "&amp;$CR$1405:$CR$1442&amp;" ",$BD36)))),"")</f>
        <v>0</v>
      </c>
      <c r="BD36" s="209" t="str">
        <f>IF(36=36,IF($U36="","",SUBSTITUTE(SUBSTITUTE($AA36," "&amp;$CR$1443&amp;" "," ")," "&amp;$CR$1444&amp;" "," ")),"")</f>
        <v xml:space="preserve"> porto xeres madere vdn </v>
      </c>
      <c r="BE36" s="209">
        <f>IF(36=36,IF($U36="","",SUMPRODUCT(--ISNUMBER(SEARCH(" "&amp;$CR$1445:$CR$1455&amp;" ",$BD36)))),"")</f>
        <v>0</v>
      </c>
      <c r="BF36" s="209" t="str">
        <f>IF(36=36,IF($U36="","",IF(BC36&gt;0,"X",IF(BE36&gt;0,"?",""))),"")</f>
        <v/>
      </c>
      <c r="BG36" s="209">
        <f>IF(36=36,IF($U36="","",SUMPRODUCT(--ISNUMBER(SEARCH(" "&amp;$CR$1456:$CR$1555&amp;" ",$BJ36)))),"")</f>
        <v>0</v>
      </c>
      <c r="BH36" s="209">
        <f>IF(36=36,IF($U36="","",SUMPRODUCT(--ISNUMBER(SEARCH(" "&amp;$CR$1556:$CR$1655&amp;" ",$BJ36)))),"")</f>
        <v>0</v>
      </c>
      <c r="BI36" s="209">
        <f>IF(36=36,IF($U36="","",SUMPRODUCT(--ISNUMBER(SEARCH(" "&amp;$CR$1656:$CR$1739&amp;" ",$BJ36)))),"")</f>
        <v>0</v>
      </c>
      <c r="BJ36" s="209" t="str">
        <f>IF(36=36,IF($U36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36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porto xeres madere vdn </v>
      </c>
      <c r="BK36" s="209">
        <f>IF(36=36,IF($U36="","",SUMPRODUCT(--ISNUMBER(SEARCH(" "&amp;$CR$1790:$CR$1869&amp;" ",$BL36)))+SUMPRODUCT(--ISNUMBER(SEARCH(" "&amp;$CR$2440:$CR$2453&amp;" ",$BL36)))),"")</f>
        <v>3</v>
      </c>
      <c r="BL36" s="209" t="str">
        <f>IF(36=36,IF($U36="","",SUBSTITUTE(SUBSTITUTE(SUBSTITUTE(SUBSTITUTE(SUBSTITUTE(SUBSTITUTE(SUBSTITUTE(SUBSTITUTE(SUBSTITUTE(SUBSTITUTE(SUBSTITUTE(SUBSTITUTE(SUBSTITUTE($BJ36,"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porto xeres madere vdn </v>
      </c>
      <c r="BM36" s="209" t="str">
        <f>IF(36=36,IF($U36="","",IF(SUM(BG36:BI36)+SUMPRODUCT(--ISNUMBER(SEARCH(" "&amp;$CR$2423:$CR$2424&amp;" ",$BJ36)))&gt;0,"X",IF(BK36&gt;0,"?",""))),"")</f>
        <v>?</v>
      </c>
      <c r="BN36" s="209">
        <f>IF(36=36,IF($U36="","",SUMPRODUCT(--ISNUMBER(SEARCH(" "&amp;$CR$1879:$CR$1936&amp;" ",$BO36)))),"")</f>
        <v>0</v>
      </c>
      <c r="BO36" s="209" t="str">
        <f>IF(36=36,IF($U36="","",SUBSTITUTE(SUBSTITUTE(SUBSTITUTE(SUBSTITUTE(SUBSTITUTE(SUBSTITUTE(SUBSTITUTE(SUBSTITUTE(SUBSTITUTE(SUBSTITUTE(SUBSTITUTE(SUBSTITUTE(SUBSTITUTE(SUBSTITUTE(SUBSTITUTE(SUBSTITUTE(SUBSTITUTE(SUBSTITUTE(SUBSTITUTE(SUBSTITUTE(SUBSTITUTE(SUBSTITUTE(SUBSTITUTE($AA36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porto xeres madere vdn </v>
      </c>
      <c r="BP36" s="209">
        <f>IF(36=36,IF($U36="","",SUMPRODUCT(--ISNUMBER(SEARCH(" "&amp;$CR$1960:$CR$1976&amp;" ",$BO36)))),"")</f>
        <v>0</v>
      </c>
      <c r="BQ36" s="209" t="str">
        <f>IF(36=36,IF($U36="","",IF(BN36&gt;0,"X",IF(BP36&gt;0,"?",""))),"")</f>
        <v/>
      </c>
      <c r="BR36" s="209">
        <f>IF(36=36,IF($U36="","",SUMPRODUCT(--ISNUMBER(SEARCH(" "&amp;$CR$1977:$CR$1990&amp;" ",$AA36)))),"")</f>
        <v>0</v>
      </c>
      <c r="BS36" s="209">
        <f>IF(36=36,IF($U36="","",SUMPRODUCT(--ISNUMBER(SEARCH(" "&amp;$CR$1991:$CR$2005&amp;" ",$AA36)))),"")</f>
        <v>0</v>
      </c>
      <c r="BT36" s="209" t="str">
        <f>IF(36=36,IF($U36="","",IF((BR36)-(0)&gt;0,"X",IF((BS36)-(0)&gt;0,"?",""))),"")</f>
        <v/>
      </c>
      <c r="BU36" s="209">
        <f>IF(36=36,IF($U36="","",SUMPRODUCT(--ISNUMBER(SEARCH(" "&amp;$CR$2006:$CR$2023&amp;" ",$AA36)))),"")</f>
        <v>0</v>
      </c>
      <c r="BV36" s="209">
        <f>IF(36=36,IF($U36="","",SUMPRODUCT(--ISNUMBER(SEARCH(" "&amp;$CR$2024:$CR$2038&amp;" ",$AA36)))),"")</f>
        <v>0</v>
      </c>
      <c r="BW36" s="209" t="str">
        <f>IF(36=36,IF($U36="","",IF((BU36)-(0)&gt;0,"X",IF((BV36)-(0)&gt;0,"?",""))),"")</f>
        <v/>
      </c>
      <c r="BX36" s="209">
        <f>IF(36=36,IF($U36="","",SUMPRODUCT(--ISNUMBER(SEARCH(" "&amp;$CR$2039:$CR$2057&amp;" ",$AA36)))),"")</f>
        <v>0</v>
      </c>
      <c r="BY36" s="209">
        <f>IF(36=36,IF($U36="","",SUMPRODUCT(--ISNUMBER(SEARCH(" "&amp;$CR$2058:$CR$2072&amp;" ",$AA36)))),"")</f>
        <v>0</v>
      </c>
      <c r="BZ36" s="209" t="str">
        <f>IF(36=36,IF($U36="","",IF((BX36)-(0)&gt;0,"X",IF((BY36)-(0)&gt;0,"?",""))),"")</f>
        <v/>
      </c>
      <c r="CA36" s="209">
        <f>IF(36=36,IF($U36="","",SUMPRODUCT(--ISNUMBER(SEARCH(" "&amp;$CR$2073:$CR$2093&amp;" ",$AA36)))),"")</f>
        <v>0</v>
      </c>
      <c r="CB36" s="209">
        <f>IF(36=36,IF($U36="","",SUMPRODUCT(--ISNUMBER(SEARCH(" "&amp;$CR$2094:$CR$2133&amp;" ",SUBSTITUTE(SUBSTITUTE($AA36," "&amp;$CR$1367&amp;" "," ")," "&amp;$CR$1366&amp;" "," "))))+--ISNUMBER(SEARCH("poiré",$V36))),"")</f>
        <v>3</v>
      </c>
      <c r="CC36" s="209" t="str">
        <f>IF(36=36,IF($U36="","",IF(OR(CA36&gt;0,ISNUMBER(SEARCH(" vinaigre de vin ",$AA36)),ISNUMBER(SEARCH(" vinaigre au vin ",$AA36))),"X",IF(CB36&gt;0,"?",""))),"")</f>
        <v>?</v>
      </c>
      <c r="CD36" s="209">
        <f>IF(36=36,IF($U36="","",SUMPRODUCT(--ISNUMBER(SEARCH(" "&amp;$CR$2134:$CR$2146&amp;" ",$AA36)))),"")</f>
        <v>0</v>
      </c>
      <c r="CE36" s="209">
        <f>IF(36=36,IF($U36="","",SUMPRODUCT(--ISNUMBER(SEARCH(" "&amp;$CR$2147:$CR$2152&amp;" ",$AA36)))),"")</f>
        <v>0</v>
      </c>
      <c r="CF36" s="209" t="str">
        <f>IF(36=36,IF($U36="","",IF((CD36)-(0)&gt;0,"X",IF((CE36)-(0)&gt;0,"?",""))),"")</f>
        <v/>
      </c>
      <c r="CG36" s="209">
        <f>IF(36=36,IF($U36="","",SUMPRODUCT(--ISNUMBER(SEARCH(" "&amp;$CR$2153:$CR$2252&amp;" ",$CJ36)))),"")</f>
        <v>0</v>
      </c>
      <c r="CH36" s="209">
        <f>IF(36=36,IF($U36="","",SUMPRODUCT(--ISNUMBER(SEARCH(" "&amp;$CR$2253:$CR$2352&amp;" ",$CJ36)))),"")</f>
        <v>0</v>
      </c>
      <c r="CI36" s="209">
        <f>IF(36=36,IF($U36="","",SUMPRODUCT(--ISNUMBER(SEARCH(" "&amp;$CR$2353:$CR$2395&amp;" ",$CJ36)))),"")</f>
        <v>0</v>
      </c>
      <c r="CJ36" s="209" t="str">
        <f>IF(36=36,IF($U36="","",SUBSTITUTE(SUBSTITUTE(SUBSTITUTE(SUBSTITUTE(SUBSTITUTE(SUBSTITUTE(SUBSTITUTE(SUBSTITUTE(SUBSTITUTE(SUBSTITUTE(SUBSTITUTE(SUBSTITUTE(SUBSTITUTE(SUBSTITUTE(SUBSTITUTE(SUBSTITUTE($AA36,"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porto xeres madere vdn </v>
      </c>
      <c r="CK36" s="209">
        <f>IF(36=36,IF($U36="","",SUMPRODUCT(--ISNUMBER(SEARCH(" "&amp;$CR$2412:$CR$2416&amp;" ",$CJ36)))),"")</f>
        <v>0</v>
      </c>
      <c r="CL36" s="209" t="str">
        <f>IF(36=36,IF($U36="","",IF(SUM(CG36:CI36)&gt;0,"X",IF(CK36&gt;0,"?",""))),"")</f>
        <v/>
      </c>
      <c r="CM36" s="210"/>
      <c r="CN36" s="213" t="s">
        <v>1041</v>
      </c>
      <c r="CO36" s="213" t="s">
        <v>878</v>
      </c>
      <c r="CP36" s="213" t="s">
        <v>879</v>
      </c>
      <c r="CQ36" s="213" t="s">
        <v>1042</v>
      </c>
      <c r="CR36" s="213" t="s">
        <v>1043</v>
      </c>
      <c r="CS36" s="213" t="s">
        <v>881</v>
      </c>
      <c r="CT36" s="213" t="s">
        <v>882</v>
      </c>
      <c r="CU36" s="213" t="s">
        <v>883</v>
      </c>
      <c r="CV36" s="214" t="s">
        <v>884</v>
      </c>
      <c r="CX36" s="212">
        <v>1</v>
      </c>
    </row>
    <row r="37" spans="1:102" ht="21" customHeight="1">
      <c r="A37" s="229">
        <v>31</v>
      </c>
      <c r="B37" s="230" t="s">
        <v>6576</v>
      </c>
      <c r="C37" s="231" t="str">
        <f t="shared" si="0"/>
        <v>Cidre / poiré ?</v>
      </c>
      <c r="D37" s="232" t="str">
        <f>IF(37=37,IF($B37="","",IF(E37="X",""&amp;"Céréales contenant du gluten","")&amp;IF(F37="X",IF(COUNTIF($E37:$E37,"X")&gt;0,", ","")&amp;"Crustacés","")&amp;IF(G37="X",IF(COUNTIF($E37:$F37,"X")&gt;0,", ","")&amp;"Œufs","")&amp;IF(H37="X",IF(COUNTIF($E37:$G37,"X")&gt;0,", ","")&amp;"Poissons","")&amp;IF(I37="X",IF(COUNTIF($E37:$H37,"X")&gt;0,", ","")&amp;"Arachides","")&amp;IF(J37="X",IF(COUNTIF($E37:$I37,"X")&gt;0,", ","")&amp;"Soja","")&amp;IF(K37="X",IF(COUNTIF($E37:$J37,"X")&gt;0,", ","")&amp;"Lait","")&amp;IF(L37="X",IF(COUNTIF($E37:$K37,"X")&gt;0,", ","")&amp;"Fruits à coque","")&amp;IF(M37="X",IF(COUNTIF($E37:$L37,"X")&gt;0,", ","")&amp;"Céleri","")&amp;IF(N37="X",IF(COUNTIF($E37:$M37,"X")&gt;0,", ","")&amp;"Moutarde","")&amp;IF(O37="X",IF(COUNTIF($E37:$N37,"X")&gt;0,", ","")&amp;"Sésame","")&amp;IF(P37="X",IF(COUNTIF($E37:$O37,"X")&gt;0,", ","")&amp;"Sulfites","")&amp;IF(Q37="X",IF(COUNTIF($E37:$P37,"X")&gt;0,", ","")&amp;"Lupin","")&amp;IF(R37="X",IF(COUNTIF($E37:$Q37,"X")&gt;0,", ","")&amp;"Mollusques","")),"")</f>
        <v/>
      </c>
      <c r="E37" s="233" t="str">
        <f>IF(37=37,IF($B37="","",IF(OR(ISNUMBER(SEARCH(" biere sans gluten ",$AA37)),ISNUMBER(SEARCH(" gluten free beer ",$AA37)),ISNUMBER(SEARCH(" beer gluten free ",$AA37))),"",IF(AF37="X","X",IF(OR(AF37="?",OR(ISNUMBER(SEARCH(" worcestershire ",$AA37)),ISNUMBER(SEARCH(" bloody mary ",$AA37)))),"?","")))),"")</f>
        <v/>
      </c>
      <c r="F37" s="233" t="str">
        <f>IF(37=37,IF($B37="","",AI37),"")</f>
        <v/>
      </c>
      <c r="G37" s="233" t="str">
        <f>IF(37=37,IF($B37="","",IF(OR(TRIM($AA37)="puree pate d amande",TRIM($AA37)="pate puree d amande",TRIM($AA37)="puree d amande",TRIM($AA37)="pate d amande",TRIM($AA37)="pate puree de noisette",TRIM($AA37)="puree pate de noisette",TRIM($AA37)="puree de noisette",TRIM($AA37)="pate de noisette"),"",IF(OR(AM37="X",OR(ISNUMBER(SEARCH(" macaron ",$AA37)),ISNUMBER(SEARCH(" egg nog ",$AA37)),ISNUMBER(SEARCH(" eggnog ",$AA37)))),"X",IF(OR(AM37="?",OR(ISNUMBER(SEARCH(" biscuit decoratif ",$AA37)),ISNUMBER(SEARCH(" whisky sour ",$AA37)),ISNUMBER(SEARCH(" whiskey sour ",$AA37)),ISNUMBER(SEARCH(" amaretto sour ",$AA37)),ISNUMBER(SEARCH(" pisco sour ",$AA37)),ISNUMBER(SEARCH(" clover club ",$AA37)),ISNUMBER(SEARCH(" ramos gin fizz ",$AA37)))),"?","")))),"")</f>
        <v/>
      </c>
      <c r="H37" s="233" t="str">
        <f>IF(37=37,IF($B37="","",IF(ISNUMBER(SEARCH(" colin ",$AA37)),"X",IF(AZ37="X","X",IF(OR(AZ37="?",OR(ISNUMBER(SEARCH(" worcestershire ",$AA37)),ISNUMBER(SEARCH(" bloody mary ",$AA37)))),"?","")))),"")</f>
        <v/>
      </c>
      <c r="I37" s="233" t="str">
        <f>IF(37=37,IF($B37="","",BB37),"")</f>
        <v/>
      </c>
      <c r="J37" s="233" t="str">
        <f>IF(37=37,IF($B37="","",BF37),"")</f>
        <v/>
      </c>
      <c r="K37" s="233" t="str">
        <f>IF(37=37,IF($B37="","",IF(OR(OR(TRIM($AA37)="puree pate d amande",TRIM($AA37)="pate puree d amande",TRIM($AA37)="puree d amande",TRIM($AA37)="pate d amande",TRIM($AA37)="pate puree de noisette",TRIM($AA37)="puree pate de noisette",TRIM($AA37)="puree de noisette",TRIM($AA37)="pate de noisette"),OR(TRIM($AA37)="beurre puree d arachide",TRIM($AA37)="beurre d arachide",TRIM($AA37)="puree d arachide"),OR(TRIM($AA37)="tahini puree de sesame",TRIM($AA37)="tahini",TRIM($AA37)="puree de sesame")),"",IF(OR(TRIM($AA37)="creme de cassis",TRIM($AA37)="creme de menthe",TRIM($AA37)="creme de cacao",TRIM($AA37)="creme de mure",TRIM($AA37)="creme de framboise",TRIM($AA37)="creme de peche",TRIM($AA37)="creme de banane",TRIM($AA37)="liqueur creme de coco",TRIM($AA37)="creme de coco",TRIM($AA37)="spiritueux aromatise arrange creme de spiritueux"),"?",IF(OR(BM37="X",OR(ISNUMBER(SEARCH(" baileys ",$AA37)),ISNUMBER(SEARCH(" irish cream ",$AA37)),ISNUMBER(SEARCH(" creme de whisky ",$AA37)))),"X",IF(OR(BM37="?",OR(OR(TRIM($AA37)="creme de cassis",TRIM($AA37)="creme de menthe",TRIM($AA37)="creme de cacao",TRIM($AA37)="creme de mure",TRIM($AA37)="creme de framboise",TRIM($AA37)="creme de peche",TRIM($AA37)="creme de banane",TRIM($AA37)="liqueur creme de coco",TRIM($AA37)="creme de coco",TRIM($AA37)="spiritueux aromatise arrange creme de spiritueux"),ISNUMBER(SEARCH(" advocaat ",$AA37)),ISNUMBER(SEARCH(" liqueur aux oeufs ",$AA37)),ISNUMBER(SEARCH(" liqueur de chocolat ",$AA37)),ISNUMBER(SEARCH(" liqueur de caramel ",$AA37)),ISNUMBER(SEARCH(" sauce nappage chocolat ",$AA37)),ISNUMBER(SEARCH(" biscuit decoratif ",$AA37)),ISNUMBER(SEARCH(" white russian ",$AA37)),ISNUMBER(SEARCH(" grasshopper ",$AA37)),ISNUMBER(SEARCH(" irish coffee ",$AA37)),ISNUMBER(SEARCH(" ramos gin fizz ",$AA37)),ISNUMBER(SEARCH(" egg nog ",$AA37)),ISNUMBER(SEARCH(" eggnog ",$AA37)))),"?",""))))),"")</f>
        <v/>
      </c>
      <c r="L37" s="233" t="str">
        <f>IF(37=37,IF($B37="","",IF(OR(BQ37="X",OR(OR(TRIM($AA37)="puree pate d amande",TRIM($AA37)="pate puree d amande",TRIM($AA37)="puree d amande",TRIM($AA37)="pate d amande",TRIM($AA37)="pate puree de noisette",TRIM($AA37)="puree pate de noisette",TRIM($AA37)="puree de noisette",TRIM($AA37)="pate de noisette"),ISNUMBER(SEARCH(" macaron ",$AA37)),TRIM($AA37)="fruits a coque")),"X",IF(OR(BQ37="?",OR(ISNUMBER(SEARCH(" sirop d orgeat ",$AA37)),ISNUMBER(SEARCH(" orgeat ",$AA37)),ISNUMBER(SEARCH(" amaretto ",$AA37)))),"?",""))),"")</f>
        <v/>
      </c>
      <c r="M37" s="233" t="str">
        <f>IF(37=37,IF($B37="","",IF(OR(OR(TRIM($AA37)="puree pate d amande",TRIM($AA37)="pate puree d amande",TRIM($AA37)="puree d amande",TRIM($AA37)="pate d amande",TRIM($AA37)="pate puree de noisette",TRIM($AA37)="puree pate de noisette",TRIM($AA37)="puree de noisette",TRIM($AA37)="pate de noisette"),OR(TRIM($AA37)="tahini puree de sesame",TRIM($AA37)="tahini",TRIM($AA37)="puree de sesame")),"",IF(BT37="X","X",IF(OR(BT37="?",ISNUMBER(SEARCH(" bloody mary ",$AA37))),"?","")))),"")</f>
        <v/>
      </c>
      <c r="N37" s="233" t="str">
        <f>IF(37=37,IF($B37="","",IF(OR(OR(TRIM($AA37)="puree pate d amande",TRIM($AA37)="pate puree d amande",TRIM($AA37)="puree d amande",TRIM($AA37)="pate d amande",TRIM($AA37)="pate puree de noisette",TRIM($AA37)="puree pate de noisette",TRIM($AA37)="puree de noisette",TRIM($AA37)="pate de noisette"),OR(TRIM($AA37)="tahini puree de sesame",TRIM($AA37)="tahini",TRIM($AA37)="puree de sesame")),"",IF(BW37="X","X",IF(OR(BW37="?",ISNUMBER(SEARCH(" bloody mary ",$AA37))),"?","")))),"")</f>
        <v/>
      </c>
      <c r="O37" s="233" t="str">
        <f>IF(37=37,IF($B37="","",BZ37),"")</f>
        <v/>
      </c>
      <c r="P37" s="233" t="str">
        <f>IF(37=37,IF($B37="","",CC37),"")</f>
        <v>?</v>
      </c>
      <c r="Q37" s="233" t="str">
        <f>IF(37=37,IF($B37="","",CF37),"")</f>
        <v/>
      </c>
      <c r="R37" s="233" t="str">
        <f>IF(37=37,IF($B37="","",IF(TRIM($AA37)="fruits a coque","",IF(CL37="X","X",IF(OR(CL37="?",OR(ISNUMBER(SEARCH(" clamato ",$AA37)),ISNUMBER(SEARCH(" bloody caesar ",$AA37)))),"?","")))),"")</f>
        <v/>
      </c>
      <c r="S37" s="234" t="str">
        <f>IF(37=37,IF($B37="","",IF(E37="?",""&amp;"Céréales contenant du gluten","")&amp;IF(F37="?",IF(COUNTIF($E37:$E37,"~?")&gt;0,", ","")&amp;"Crustacés","")&amp;IF(G37="?",IF(COUNTIF($E37:$F37,"~?")&gt;0,", ","")&amp;"Œufs","")&amp;IF(H37="?",IF(COUNTIF($E37:$G37,"~?")&gt;0,", ","")&amp;"Poissons","")&amp;IF(I37="?",IF(COUNTIF($E37:$H37,"~?")&gt;0,", ","")&amp;"Arachides","")&amp;IF(J37="?",IF(COUNTIF($E37:$I37,"~?")&gt;0,", ","")&amp;"Soja","")&amp;IF(K37="?",IF(COUNTIF($E37:$J37,"~?")&gt;0,", ","")&amp;"Lait","")&amp;IF(L37="?",IF(COUNTIF($E37:$K37,"~?")&gt;0,", ","")&amp;"Fruits à coque","")&amp;IF(M37="?",IF(COUNTIF($E37:$L37,"~?")&gt;0,", ","")&amp;"Céleri","")&amp;IF(N37="?",IF(COUNTIF($E37:$M37,"~?")&gt;0,", ","")&amp;"Moutarde","")&amp;IF(O37="?",IF(COUNTIF($E37:$N37,"~?")&gt;0,", ","")&amp;"Sésame","")&amp;IF(P37="?",IF(COUNTIF($E37:$O37,"~?")&gt;0,", ","")&amp;"Sulfites","")&amp;IF(Q37="?",IF(COUNTIF($E37:$P37,"~?")&gt;0,", ","")&amp;"Lupin","")&amp;IF(R37="?",IF(COUNTIF($E37:$Q37,"~?")&gt;0,", ","")&amp;"Mollusques","")),"")</f>
        <v>Sulfites</v>
      </c>
      <c r="U37" s="209" t="str">
        <f>IF(37=37,IF($B37="","",$B37),"")</f>
        <v>Cidre / poiré</v>
      </c>
      <c r="V37" s="209" t="str">
        <f>IF(37=37,LOWER(CLEAN(SUBSTITUTE(SUBSTITUTE(SUBSTITUTE(SUBSTITUTE($U37,CHAR(160)," ")," "," "),CHAR(10)," "),CHAR(13)," "))),"")</f>
        <v>cidre / poiré</v>
      </c>
      <c r="W37" s="209" t="str">
        <f>IF(37=37,SUBSTITUTE(SUBSTITUTE(SUBSTITUTE(SUBSTITUTE(SUBSTITUTE(SUBSTITUTE(SUBSTITUTE(SUBSTITUTE(SUBSTITUTE(SUBSTITUTE(SUBSTITUTE(SUBSTITUTE($V37,"œ","oe"),"æ","ae"),"à","a"),"á","a"),"â","a"),"ä","a"),"ã","a"),"ç","c"),"è","e"),"é","e"),"ê","e"),"ë","e"),"")</f>
        <v>cidre / poire</v>
      </c>
      <c r="X37" s="209" t="str">
        <f>IF(37=37,SUBSTITUTE(SUBSTITUTE(SUBSTITUTE(SUBSTITUTE(SUBSTITUTE(SUBSTITUTE(SUBSTITUTE(SUBSTITUTE(SUBSTITUTE(SUBSTITUTE(SUBSTITUTE(SUBSTITUTE(SUBSTITUTE(SUBSTITUTE(SUBSTITUTE(SUBSTITUTE($W37,"ì","i"),"í","i"),"î","i"),"ï","i"),"ñ","n"),"ò","o"),"ó","o"),"ô","o"),"ö","o"),"õ","o"),"ù","u"),"ú","u"),"û","u"),"ü","u"),"ý","y"),"ÿ","y"),"")</f>
        <v>cidre / poire</v>
      </c>
      <c r="Y37" s="209" t="str">
        <f>IF(37=37,SUBSTITUTE(SUBSTITUTE(SUBSTITUTE(SUBSTITUTE(SUBSTITUTE(SUBSTITUTE(SUBSTITUTE(SUBSTITUTE(SUBSTITUTE(SUBSTITUTE(SUBSTITUTE(SUBSTITUTE(SUBSTITUTE(SUBSTITUTE($X37,"’"," "),"`"," "),"–"," "),"—"," "),"-"," "),"'"," "),"/"," "),"_"," "),","," "),"."," "),"("," "),")"," "),";"," "),":"," "),"")</f>
        <v>cidre   poire</v>
      </c>
      <c r="Z37" s="209" t="str">
        <f>IF(37=37,SUBSTITUTE(SUBSTITUTE(SUBSTITUTE(SUBSTITUTE(SUBSTITUTE(SUBSTITUTE(SUBSTITUTE(SUBSTITUTE(SUBSTITUTE(SUBSTITUTE(SUBSTITUTE(SUBSTITUTE(SUBSTITUTE(SUBSTITUTE(SUBSTITUTE($Y37,"!"," "),"?"," "),"+"," "),"*"," "),"&amp;"," "),"["," "),"]"," "),"{"," "),"}"," "),"%"," "),"="," "),"\"," "),"|"," "),"&lt;"," "),"&gt;"," "),"")</f>
        <v>cidre   poire</v>
      </c>
      <c r="AA37" s="209" t="str">
        <f>IF(37=37," "&amp;TRIM(SUBSTITUTE(SUBSTITUTE(SUBSTITUTE(SUBSTITUTE(SUBSTITUTE(SUBSTITUTE($Z37,CHAR(34)," "),"  "," "),"  "," "),"  "," "),"  "," "),"  "," "))&amp;" ","")</f>
        <v xml:space="preserve"> cidre poire </v>
      </c>
      <c r="AB37" s="209">
        <f>IF(37=37,IF($U37="","",SUMPRODUCT(--ISNUMBER(SEARCH(" "&amp;$CR$2:$CR$101&amp;" ",$AD37)))),"")</f>
        <v>0</v>
      </c>
      <c r="AC37" s="209">
        <f>IF(37=37,IF($U37="","",SUMPRODUCT(--ISNUMBER(SEARCH(" "&amp;$CR$102:$CR$151&amp;" ",$AD37)))),"")</f>
        <v>0</v>
      </c>
      <c r="AD37" s="209" t="str">
        <f t="shared" si="1"/>
        <v xml:space="preserve"> cidre poire </v>
      </c>
      <c r="AE37" s="209">
        <f t="shared" si="2"/>
        <v>0</v>
      </c>
      <c r="AF37" s="209" t="str">
        <f>IF(37=37,IF($U37="","",IF(SUM(AB37:AC37)+SUMPRODUCT(--ISNUMBER(SEARCH(" "&amp;$CR$2418:$CR$2420&amp;" ",$AD37)))&gt;0,"X",IF(AE37&gt;0,"?",""))),"")</f>
        <v/>
      </c>
      <c r="AG37" s="209">
        <f>IF(37=37,IF($U37="","",SUMPRODUCT(--ISNUMBER(SEARCH(" "&amp;$CR$206:$CR$305&amp;" ",$AA37)))),"")</f>
        <v>0</v>
      </c>
      <c r="AH37" s="209">
        <f>IF(37=37,IF($U37="","",SUMPRODUCT(--ISNUMBER(SEARCH(" "&amp;$CR$306:$CR$340&amp;" ",$AA37)))),"")</f>
        <v>0</v>
      </c>
      <c r="AI37" s="209" t="str">
        <f>IF(37=37,IF($U37="","",IF((SUM(AG37:AH37))-(0)&gt;0,"X",IF((0)-(0)&gt;0,"?",""))),"")</f>
        <v/>
      </c>
      <c r="AJ37" s="209">
        <f>IF(37=37,IF($U37="","",SUMPRODUCT(--ISNUMBER(SEARCH(" "&amp;$CR$341:$CR$398&amp;" ",$AA37)))),"")</f>
        <v>0</v>
      </c>
      <c r="AK37" s="209">
        <f>IF(37=37,IF($U37="","",SUMPRODUCT(--ISNUMBER(SEARCH(" "&amp;$CR$399:$CR$426&amp;" ",$AL37)))+SUMPRODUCT(--ISNUMBER(SEARCH(" "&amp;$CR$2440:$CR$2453&amp;" ",$AL37)))),"")</f>
        <v>0</v>
      </c>
      <c r="AL37" s="209" t="str">
        <f>IF(37=37,IF($U37="","",SUBSTITUTE(SUBSTITUTE(SUBSTITUTE(SUBSTITUTE(SUBSTITUTE(SUBSTITUTE(SUBSTITUTE(SUBSTITUTE(SUBSTITUTE(SUBSTITUTE(SUBSTITUTE(SUBSTITUTE(SUBSTITUTE(SUBSTITUTE($AA37,"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cidre poire </v>
      </c>
      <c r="AM37" s="209" t="str">
        <f>IF(37=37,IF($U37="","",IF(AJ37&gt;0,"X",IF(AK37&gt;0,"?",""))),"")</f>
        <v/>
      </c>
      <c r="AN37" s="209">
        <f>IF(37=37,IF($U37="","",SUMPRODUCT(--ISNUMBER(SEARCH(" "&amp;$CR$436:$CR$535&amp;" ",$AX37)))),"")</f>
        <v>0</v>
      </c>
      <c r="AO37" s="209">
        <f>IF(37=37,IF($U37="","",SUMPRODUCT(--ISNUMBER(SEARCH(" "&amp;$CR$536:$CR$635&amp;" ",$AX37)))),"")</f>
        <v>0</v>
      </c>
      <c r="AP37" s="209">
        <f>IF(37=37,IF($U37="","",SUMPRODUCT(--ISNUMBER(SEARCH(" "&amp;$CR$636:$CR$735&amp;" ",$AX37)))),"")</f>
        <v>0</v>
      </c>
      <c r="AQ37" s="209">
        <f>IF(37=37,IF($U37="","",SUMPRODUCT(--ISNUMBER(SEARCH(" "&amp;$CR$736:$CR$835&amp;" ",$AX37)))),"")</f>
        <v>0</v>
      </c>
      <c r="AR37" s="209">
        <f>IF(37=37,IF($U37="","",SUMPRODUCT(--ISNUMBER(SEARCH(" "&amp;$CR$836:$CR$935&amp;" ",$AX37)))),"")</f>
        <v>0</v>
      </c>
      <c r="AS37" s="209">
        <f>IF(37=37,IF($U37="","",SUMPRODUCT(--ISNUMBER(SEARCH(" "&amp;$CR$936:$CR$1035&amp;" ",$AX37)))),"")</f>
        <v>0</v>
      </c>
      <c r="AT37" s="209">
        <f>IF(37=37,IF($U37="","",SUMPRODUCT(--ISNUMBER(SEARCH(" "&amp;$CR$1036:$CR$1135&amp;" ",$AX37)))),"")</f>
        <v>0</v>
      </c>
      <c r="AU37" s="209">
        <f>IF(37=37,IF($U37="","",SUMPRODUCT(--ISNUMBER(SEARCH(" "&amp;$CR$1136:$CR$1235&amp;" ",$AX37)))),"")</f>
        <v>0</v>
      </c>
      <c r="AV37" s="209">
        <f>IF(37=37,IF($U37="","",SUMPRODUCT(--ISNUMBER(SEARCH(" "&amp;$CR$1236:$CR$1335&amp;" ",$AX37)))),"")</f>
        <v>0</v>
      </c>
      <c r="AW37" s="209">
        <f>IF(37=37,IF($U37="","",SUMPRODUCT(--ISNUMBER(SEARCH(" "&amp;$CR$1336:$CR$1363&amp;" ",$AX37)))),"")</f>
        <v>0</v>
      </c>
      <c r="AX37" s="209" t="str">
        <f>IF(37=37,IF($U37="","",SUBSTITUTE(SUBSTITUTE(SUBSTITUTE(SUBSTITUTE(SUBSTITUTE(SUBSTITUTE(SUBSTITUTE(SUBSTITUTE(SUBSTITUTE($AA37,"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cidre poire </v>
      </c>
      <c r="AY37" s="209">
        <f>IF(37=37,IF($U37="","",SUMPRODUCT(--ISNUMBER(SEARCH(" "&amp;$CR$1373:$CR$1383&amp;" ",$AX37)))),"")</f>
        <v>0</v>
      </c>
      <c r="AZ37" s="209" t="str">
        <f>IF(37=37,IF($U37="","",IF(SUM(AN37:AW37)+SUMPRODUCT(--ISNUMBER(SEARCH(" "&amp;$CR$2421:$CR$2422&amp;" ",$AX37)))&gt;0,"X",IF(AY37&gt;0,"?",""))),"")</f>
        <v/>
      </c>
      <c r="BA37" s="209">
        <f>IF(37=37,IF($U37="","",SUMPRODUCT(--ISNUMBER(SEARCH(" "&amp;$CR$1384:$CR$1404&amp;" ",$AA37)))),"")</f>
        <v>0</v>
      </c>
      <c r="BB37" s="209" t="str">
        <f>IF(37=37,IF($U37="","",IF((BA37)-(0)&gt;0,"X",IF((0)-(0)&gt;0,"?",""))),"")</f>
        <v/>
      </c>
      <c r="BC37" s="209">
        <f>IF(37=37,IF($U37="","",SUMPRODUCT(--ISNUMBER(SEARCH(" "&amp;$CR$1405:$CR$1442&amp;" ",$BD37)))),"")</f>
        <v>0</v>
      </c>
      <c r="BD37" s="209" t="str">
        <f>IF(37=37,IF($U37="","",SUBSTITUTE(SUBSTITUTE($AA37," "&amp;$CR$1443&amp;" "," ")," "&amp;$CR$1444&amp;" "," ")),"")</f>
        <v xml:space="preserve"> cidre poire </v>
      </c>
      <c r="BE37" s="209">
        <f>IF(37=37,IF($U37="","",SUMPRODUCT(--ISNUMBER(SEARCH(" "&amp;$CR$1445:$CR$1455&amp;" ",$BD37)))),"")</f>
        <v>0</v>
      </c>
      <c r="BF37" s="209" t="str">
        <f>IF(37=37,IF($U37="","",IF(BC37&gt;0,"X",IF(BE37&gt;0,"?",""))),"")</f>
        <v/>
      </c>
      <c r="BG37" s="209">
        <f>IF(37=37,IF($U37="","",SUMPRODUCT(--ISNUMBER(SEARCH(" "&amp;$CR$1456:$CR$1555&amp;" ",$BJ37)))),"")</f>
        <v>0</v>
      </c>
      <c r="BH37" s="209">
        <f>IF(37=37,IF($U37="","",SUMPRODUCT(--ISNUMBER(SEARCH(" "&amp;$CR$1556:$CR$1655&amp;" ",$BJ37)))),"")</f>
        <v>0</v>
      </c>
      <c r="BI37" s="209">
        <f>IF(37=37,IF($U37="","",SUMPRODUCT(--ISNUMBER(SEARCH(" "&amp;$CR$1656:$CR$1739&amp;" ",$BJ37)))),"")</f>
        <v>0</v>
      </c>
      <c r="BJ37" s="209" t="str">
        <f>IF(37=37,IF($U37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37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cidre poire </v>
      </c>
      <c r="BK37" s="209">
        <f>IF(37=37,IF($U37="","",SUMPRODUCT(--ISNUMBER(SEARCH(" "&amp;$CR$1790:$CR$1869&amp;" ",$BL37)))+SUMPRODUCT(--ISNUMBER(SEARCH(" "&amp;$CR$2440:$CR$2453&amp;" ",$BL37)))),"")</f>
        <v>0</v>
      </c>
      <c r="BL37" s="209" t="str">
        <f>IF(37=37,IF($U37="","",SUBSTITUTE(SUBSTITUTE(SUBSTITUTE(SUBSTITUTE(SUBSTITUTE(SUBSTITUTE(SUBSTITUTE(SUBSTITUTE(SUBSTITUTE(SUBSTITUTE(SUBSTITUTE(SUBSTITUTE(SUBSTITUTE($BJ37,"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cidre poire </v>
      </c>
      <c r="BM37" s="209" t="str">
        <f>IF(37=37,IF($U37="","",IF(SUM(BG37:BI37)+SUMPRODUCT(--ISNUMBER(SEARCH(" "&amp;$CR$2423:$CR$2424&amp;" ",$BJ37)))&gt;0,"X",IF(BK37&gt;0,"?",""))),"")</f>
        <v/>
      </c>
      <c r="BN37" s="209">
        <f>IF(37=37,IF($U37="","",SUMPRODUCT(--ISNUMBER(SEARCH(" "&amp;$CR$1879:$CR$1936&amp;" ",$BO37)))),"")</f>
        <v>0</v>
      </c>
      <c r="BO37" s="209" t="str">
        <f>IF(37=37,IF($U37="","",SUBSTITUTE(SUBSTITUTE(SUBSTITUTE(SUBSTITUTE(SUBSTITUTE(SUBSTITUTE(SUBSTITUTE(SUBSTITUTE(SUBSTITUTE(SUBSTITUTE(SUBSTITUTE(SUBSTITUTE(SUBSTITUTE(SUBSTITUTE(SUBSTITUTE(SUBSTITUTE(SUBSTITUTE(SUBSTITUTE(SUBSTITUTE(SUBSTITUTE(SUBSTITUTE(SUBSTITUTE(SUBSTITUTE($AA37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cidre poire </v>
      </c>
      <c r="BP37" s="209">
        <f>IF(37=37,IF($U37="","",SUMPRODUCT(--ISNUMBER(SEARCH(" "&amp;$CR$1960:$CR$1976&amp;" ",$BO37)))),"")</f>
        <v>0</v>
      </c>
      <c r="BQ37" s="209" t="str">
        <f>IF(37=37,IF($U37="","",IF(BN37&gt;0,"X",IF(BP37&gt;0,"?",""))),"")</f>
        <v/>
      </c>
      <c r="BR37" s="209">
        <f>IF(37=37,IF($U37="","",SUMPRODUCT(--ISNUMBER(SEARCH(" "&amp;$CR$1977:$CR$1990&amp;" ",$AA37)))),"")</f>
        <v>0</v>
      </c>
      <c r="BS37" s="209">
        <f>IF(37=37,IF($U37="","",SUMPRODUCT(--ISNUMBER(SEARCH(" "&amp;$CR$1991:$CR$2005&amp;" ",$AA37)))),"")</f>
        <v>0</v>
      </c>
      <c r="BT37" s="209" t="str">
        <f>IF(37=37,IF($U37="","",IF((BR37)-(0)&gt;0,"X",IF((BS37)-(0)&gt;0,"?",""))),"")</f>
        <v/>
      </c>
      <c r="BU37" s="209">
        <f>IF(37=37,IF($U37="","",SUMPRODUCT(--ISNUMBER(SEARCH(" "&amp;$CR$2006:$CR$2023&amp;" ",$AA37)))),"")</f>
        <v>0</v>
      </c>
      <c r="BV37" s="209">
        <f>IF(37=37,IF($U37="","",SUMPRODUCT(--ISNUMBER(SEARCH(" "&amp;$CR$2024:$CR$2038&amp;" ",$AA37)))),"")</f>
        <v>0</v>
      </c>
      <c r="BW37" s="209" t="str">
        <f>IF(37=37,IF($U37="","",IF((BU37)-(0)&gt;0,"X",IF((BV37)-(0)&gt;0,"?",""))),"")</f>
        <v/>
      </c>
      <c r="BX37" s="209">
        <f>IF(37=37,IF($U37="","",SUMPRODUCT(--ISNUMBER(SEARCH(" "&amp;$CR$2039:$CR$2057&amp;" ",$AA37)))),"")</f>
        <v>0</v>
      </c>
      <c r="BY37" s="209">
        <f>IF(37=37,IF($U37="","",SUMPRODUCT(--ISNUMBER(SEARCH(" "&amp;$CR$2058:$CR$2072&amp;" ",$AA37)))),"")</f>
        <v>0</v>
      </c>
      <c r="BZ37" s="209" t="str">
        <f>IF(37=37,IF($U37="","",IF((BX37)-(0)&gt;0,"X",IF((BY37)-(0)&gt;0,"?",""))),"")</f>
        <v/>
      </c>
      <c r="CA37" s="209">
        <f>IF(37=37,IF($U37="","",SUMPRODUCT(--ISNUMBER(SEARCH(" "&amp;$CR$2073:$CR$2093&amp;" ",$AA37)))),"")</f>
        <v>0</v>
      </c>
      <c r="CB37" s="209">
        <f>IF(37=37,IF($U37="","",SUMPRODUCT(--ISNUMBER(SEARCH(" "&amp;$CR$2094:$CR$2133&amp;" ",SUBSTITUTE(SUBSTITUTE($AA37," "&amp;$CR$1367&amp;" "," ")," "&amp;$CR$1366&amp;" "," "))))+--ISNUMBER(SEARCH("poiré",$V37))),"")</f>
        <v>2</v>
      </c>
      <c r="CC37" s="209" t="str">
        <f>IF(37=37,IF($U37="","",IF(OR(CA37&gt;0,ISNUMBER(SEARCH(" vinaigre de vin ",$AA37)),ISNUMBER(SEARCH(" vinaigre au vin ",$AA37))),"X",IF(CB37&gt;0,"?",""))),"")</f>
        <v>?</v>
      </c>
      <c r="CD37" s="209">
        <f>IF(37=37,IF($U37="","",SUMPRODUCT(--ISNUMBER(SEARCH(" "&amp;$CR$2134:$CR$2146&amp;" ",$AA37)))),"")</f>
        <v>0</v>
      </c>
      <c r="CE37" s="209">
        <f>IF(37=37,IF($U37="","",SUMPRODUCT(--ISNUMBER(SEARCH(" "&amp;$CR$2147:$CR$2152&amp;" ",$AA37)))),"")</f>
        <v>0</v>
      </c>
      <c r="CF37" s="209" t="str">
        <f>IF(37=37,IF($U37="","",IF((CD37)-(0)&gt;0,"X",IF((CE37)-(0)&gt;0,"?",""))),"")</f>
        <v/>
      </c>
      <c r="CG37" s="209">
        <f>IF(37=37,IF($U37="","",SUMPRODUCT(--ISNUMBER(SEARCH(" "&amp;$CR$2153:$CR$2252&amp;" ",$CJ37)))),"")</f>
        <v>0</v>
      </c>
      <c r="CH37" s="209">
        <f>IF(37=37,IF($U37="","",SUMPRODUCT(--ISNUMBER(SEARCH(" "&amp;$CR$2253:$CR$2352&amp;" ",$CJ37)))),"")</f>
        <v>0</v>
      </c>
      <c r="CI37" s="209">
        <f>IF(37=37,IF($U37="","",SUMPRODUCT(--ISNUMBER(SEARCH(" "&amp;$CR$2353:$CR$2395&amp;" ",$CJ37)))),"")</f>
        <v>0</v>
      </c>
      <c r="CJ37" s="209" t="str">
        <f>IF(37=37,IF($U37="","",SUBSTITUTE(SUBSTITUTE(SUBSTITUTE(SUBSTITUTE(SUBSTITUTE(SUBSTITUTE(SUBSTITUTE(SUBSTITUTE(SUBSTITUTE(SUBSTITUTE(SUBSTITUTE(SUBSTITUTE(SUBSTITUTE(SUBSTITUTE(SUBSTITUTE(SUBSTITUTE($AA37,"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cidre poire </v>
      </c>
      <c r="CK37" s="209">
        <f>IF(37=37,IF($U37="","",SUMPRODUCT(--ISNUMBER(SEARCH(" "&amp;$CR$2412:$CR$2416&amp;" ",$CJ37)))),"")</f>
        <v>0</v>
      </c>
      <c r="CL37" s="209" t="str">
        <f>IF(37=37,IF($U37="","",IF(SUM(CG37:CI37)&gt;0,"X",IF(CK37&gt;0,"?",""))),"")</f>
        <v/>
      </c>
      <c r="CM37" s="210"/>
      <c r="CN37" s="213" t="s">
        <v>1044</v>
      </c>
      <c r="CO37" s="213" t="s">
        <v>878</v>
      </c>
      <c r="CP37" s="213" t="s">
        <v>879</v>
      </c>
      <c r="CQ37" s="213" t="s">
        <v>1045</v>
      </c>
      <c r="CR37" s="213" t="s">
        <v>1046</v>
      </c>
      <c r="CS37" s="213" t="s">
        <v>881</v>
      </c>
      <c r="CT37" s="213" t="s">
        <v>882</v>
      </c>
      <c r="CU37" s="213" t="s">
        <v>883</v>
      </c>
      <c r="CV37" s="214" t="s">
        <v>884</v>
      </c>
      <c r="CX37" s="212">
        <v>1</v>
      </c>
    </row>
    <row r="38" spans="1:102" ht="21" customHeight="1">
      <c r="A38" s="229">
        <v>32</v>
      </c>
      <c r="B38" s="230" t="s">
        <v>733</v>
      </c>
      <c r="C38" s="231" t="str">
        <f t="shared" si="0"/>
        <v>Liqueur de café</v>
      </c>
      <c r="D38" s="232" t="str">
        <f>IF(38=38,IF($B38="","",IF(E38="X",""&amp;"Céréales contenant du gluten","")&amp;IF(F38="X",IF(COUNTIF($E38:$E38,"X")&gt;0,", ","")&amp;"Crustacés","")&amp;IF(G38="X",IF(COUNTIF($E38:$F38,"X")&gt;0,", ","")&amp;"Œufs","")&amp;IF(H38="X",IF(COUNTIF($E38:$G38,"X")&gt;0,", ","")&amp;"Poissons","")&amp;IF(I38="X",IF(COUNTIF($E38:$H38,"X")&gt;0,", ","")&amp;"Arachides","")&amp;IF(J38="X",IF(COUNTIF($E38:$I38,"X")&gt;0,", ","")&amp;"Soja","")&amp;IF(K38="X",IF(COUNTIF($E38:$J38,"X")&gt;0,", ","")&amp;"Lait","")&amp;IF(L38="X",IF(COUNTIF($E38:$K38,"X")&gt;0,", ","")&amp;"Fruits à coque","")&amp;IF(M38="X",IF(COUNTIF($E38:$L38,"X")&gt;0,", ","")&amp;"Céleri","")&amp;IF(N38="X",IF(COUNTIF($E38:$M38,"X")&gt;0,", ","")&amp;"Moutarde","")&amp;IF(O38="X",IF(COUNTIF($E38:$N38,"X")&gt;0,", ","")&amp;"Sésame","")&amp;IF(P38="X",IF(COUNTIF($E38:$O38,"X")&gt;0,", ","")&amp;"Sulfites","")&amp;IF(Q38="X",IF(COUNTIF($E38:$P38,"X")&gt;0,", ","")&amp;"Lupin","")&amp;IF(R38="X",IF(COUNTIF($E38:$Q38,"X")&gt;0,", ","")&amp;"Mollusques","")),"")</f>
        <v/>
      </c>
      <c r="E38" s="233" t="str">
        <f>IF(38=38,IF($B38="","",IF(OR(ISNUMBER(SEARCH(" biere sans gluten ",$AA38)),ISNUMBER(SEARCH(" gluten free beer ",$AA38)),ISNUMBER(SEARCH(" beer gluten free ",$AA38))),"",IF(AF38="X","X",IF(OR(AF38="?",OR(ISNUMBER(SEARCH(" worcestershire ",$AA38)),ISNUMBER(SEARCH(" bloody mary ",$AA38)))),"?","")))),"")</f>
        <v/>
      </c>
      <c r="F38" s="233" t="str">
        <f>IF(38=38,IF($B38="","",AI38),"")</f>
        <v/>
      </c>
      <c r="G38" s="233" t="str">
        <f>IF(38=38,IF($B38="","",IF(OR(TRIM($AA38)="puree pate d amande",TRIM($AA38)="pate puree d amande",TRIM($AA38)="puree d amande",TRIM($AA38)="pate d amande",TRIM($AA38)="pate puree de noisette",TRIM($AA38)="puree pate de noisette",TRIM($AA38)="puree de noisette",TRIM($AA38)="pate de noisette"),"",IF(OR(AM38="X",OR(ISNUMBER(SEARCH(" macaron ",$AA38)),ISNUMBER(SEARCH(" egg nog ",$AA38)),ISNUMBER(SEARCH(" eggnog ",$AA38)))),"X",IF(OR(AM38="?",OR(ISNUMBER(SEARCH(" biscuit decoratif ",$AA38)),ISNUMBER(SEARCH(" whisky sour ",$AA38)),ISNUMBER(SEARCH(" whiskey sour ",$AA38)),ISNUMBER(SEARCH(" amaretto sour ",$AA38)),ISNUMBER(SEARCH(" pisco sour ",$AA38)),ISNUMBER(SEARCH(" clover club ",$AA38)),ISNUMBER(SEARCH(" ramos gin fizz ",$AA38)))),"?","")))),"")</f>
        <v/>
      </c>
      <c r="H38" s="233" t="str">
        <f>IF(38=38,IF($B38="","",IF(ISNUMBER(SEARCH(" colin ",$AA38)),"X",IF(AZ38="X","X",IF(OR(AZ38="?",OR(ISNUMBER(SEARCH(" worcestershire ",$AA38)),ISNUMBER(SEARCH(" bloody mary ",$AA38)))),"?","")))),"")</f>
        <v/>
      </c>
      <c r="I38" s="233" t="str">
        <f>IF(38=38,IF($B38="","",BB38),"")</f>
        <v/>
      </c>
      <c r="J38" s="233" t="str">
        <f>IF(38=38,IF($B38="","",BF38),"")</f>
        <v/>
      </c>
      <c r="K38" s="233" t="str">
        <f>IF(38=38,IF($B38="","",IF(OR(OR(TRIM($AA38)="puree pate d amande",TRIM($AA38)="pate puree d amande",TRIM($AA38)="puree d amande",TRIM($AA38)="pate d amande",TRIM($AA38)="pate puree de noisette",TRIM($AA38)="puree pate de noisette",TRIM($AA38)="puree de noisette",TRIM($AA38)="pate de noisette"),OR(TRIM($AA38)="beurre puree d arachide",TRIM($AA38)="beurre d arachide",TRIM($AA38)="puree d arachide"),OR(TRIM($AA38)="tahini puree de sesame",TRIM($AA38)="tahini",TRIM($AA38)="puree de sesame")),"",IF(OR(TRIM($AA38)="creme de cassis",TRIM($AA38)="creme de menthe",TRIM($AA38)="creme de cacao",TRIM($AA38)="creme de mure",TRIM($AA38)="creme de framboise",TRIM($AA38)="creme de peche",TRIM($AA38)="creme de banane",TRIM($AA38)="liqueur creme de coco",TRIM($AA38)="creme de coco",TRIM($AA38)="spiritueux aromatise arrange creme de spiritueux"),"?",IF(OR(BM38="X",OR(ISNUMBER(SEARCH(" baileys ",$AA38)),ISNUMBER(SEARCH(" irish cream ",$AA38)),ISNUMBER(SEARCH(" creme de whisky ",$AA38)))),"X",IF(OR(BM38="?",OR(OR(TRIM($AA38)="creme de cassis",TRIM($AA38)="creme de menthe",TRIM($AA38)="creme de cacao",TRIM($AA38)="creme de mure",TRIM($AA38)="creme de framboise",TRIM($AA38)="creme de peche",TRIM($AA38)="creme de banane",TRIM($AA38)="liqueur creme de coco",TRIM($AA38)="creme de coco",TRIM($AA38)="spiritueux aromatise arrange creme de spiritueux"),ISNUMBER(SEARCH(" advocaat ",$AA38)),ISNUMBER(SEARCH(" liqueur aux oeufs ",$AA38)),ISNUMBER(SEARCH(" liqueur de chocolat ",$AA38)),ISNUMBER(SEARCH(" liqueur de caramel ",$AA38)),ISNUMBER(SEARCH(" sauce nappage chocolat ",$AA38)),ISNUMBER(SEARCH(" biscuit decoratif ",$AA38)),ISNUMBER(SEARCH(" white russian ",$AA38)),ISNUMBER(SEARCH(" grasshopper ",$AA38)),ISNUMBER(SEARCH(" irish coffee ",$AA38)),ISNUMBER(SEARCH(" ramos gin fizz ",$AA38)),ISNUMBER(SEARCH(" egg nog ",$AA38)),ISNUMBER(SEARCH(" eggnog ",$AA38)))),"?",""))))),"")</f>
        <v/>
      </c>
      <c r="L38" s="233" t="str">
        <f>IF(38=38,IF($B38="","",IF(OR(BQ38="X",OR(OR(TRIM($AA38)="puree pate d amande",TRIM($AA38)="pate puree d amande",TRIM($AA38)="puree d amande",TRIM($AA38)="pate d amande",TRIM($AA38)="pate puree de noisette",TRIM($AA38)="puree pate de noisette",TRIM($AA38)="puree de noisette",TRIM($AA38)="pate de noisette"),ISNUMBER(SEARCH(" macaron ",$AA38)),TRIM($AA38)="fruits a coque")),"X",IF(OR(BQ38="?",OR(ISNUMBER(SEARCH(" sirop d orgeat ",$AA38)),ISNUMBER(SEARCH(" orgeat ",$AA38)),ISNUMBER(SEARCH(" amaretto ",$AA38)))),"?",""))),"")</f>
        <v/>
      </c>
      <c r="M38" s="233" t="str">
        <f>IF(38=38,IF($B38="","",IF(OR(OR(TRIM($AA38)="puree pate d amande",TRIM($AA38)="pate puree d amande",TRIM($AA38)="puree d amande",TRIM($AA38)="pate d amande",TRIM($AA38)="pate puree de noisette",TRIM($AA38)="puree pate de noisette",TRIM($AA38)="puree de noisette",TRIM($AA38)="pate de noisette"),OR(TRIM($AA38)="tahini puree de sesame",TRIM($AA38)="tahini",TRIM($AA38)="puree de sesame")),"",IF(BT38="X","X",IF(OR(BT38="?",ISNUMBER(SEARCH(" bloody mary ",$AA38))),"?","")))),"")</f>
        <v/>
      </c>
      <c r="N38" s="233" t="str">
        <f>IF(38=38,IF($B38="","",IF(OR(OR(TRIM($AA38)="puree pate d amande",TRIM($AA38)="pate puree d amande",TRIM($AA38)="puree d amande",TRIM($AA38)="pate d amande",TRIM($AA38)="pate puree de noisette",TRIM($AA38)="puree pate de noisette",TRIM($AA38)="puree de noisette",TRIM($AA38)="pate de noisette"),OR(TRIM($AA38)="tahini puree de sesame",TRIM($AA38)="tahini",TRIM($AA38)="puree de sesame")),"",IF(BW38="X","X",IF(OR(BW38="?",ISNUMBER(SEARCH(" bloody mary ",$AA38))),"?","")))),"")</f>
        <v/>
      </c>
      <c r="O38" s="233" t="str">
        <f>IF(38=38,IF($B38="","",BZ38),"")</f>
        <v/>
      </c>
      <c r="P38" s="233" t="str">
        <f>IF(38=38,IF($B38="","",CC38),"")</f>
        <v/>
      </c>
      <c r="Q38" s="233" t="str">
        <f>IF(38=38,IF($B38="","",CF38),"")</f>
        <v/>
      </c>
      <c r="R38" s="233" t="str">
        <f>IF(38=38,IF($B38="","",IF(TRIM($AA38)="fruits a coque","",IF(CL38="X","X",IF(OR(CL38="?",OR(ISNUMBER(SEARCH(" clamato ",$AA38)),ISNUMBER(SEARCH(" bloody caesar ",$AA38)))),"?","")))),"")</f>
        <v/>
      </c>
      <c r="S38" s="234" t="str">
        <f>IF(38=38,IF($B38="","",IF(E38="?",""&amp;"Céréales contenant du gluten","")&amp;IF(F38="?",IF(COUNTIF($E38:$E38,"~?")&gt;0,", ","")&amp;"Crustacés","")&amp;IF(G38="?",IF(COUNTIF($E38:$F38,"~?")&gt;0,", ","")&amp;"Œufs","")&amp;IF(H38="?",IF(COUNTIF($E38:$G38,"~?")&gt;0,", ","")&amp;"Poissons","")&amp;IF(I38="?",IF(COUNTIF($E38:$H38,"~?")&gt;0,", ","")&amp;"Arachides","")&amp;IF(J38="?",IF(COUNTIF($E38:$I38,"~?")&gt;0,", ","")&amp;"Soja","")&amp;IF(K38="?",IF(COUNTIF($E38:$J38,"~?")&gt;0,", ","")&amp;"Lait","")&amp;IF(L38="?",IF(COUNTIF($E38:$K38,"~?")&gt;0,", ","")&amp;"Fruits à coque","")&amp;IF(M38="?",IF(COUNTIF($E38:$L38,"~?")&gt;0,", ","")&amp;"Céleri","")&amp;IF(N38="?",IF(COUNTIF($E38:$M38,"~?")&gt;0,", ","")&amp;"Moutarde","")&amp;IF(O38="?",IF(COUNTIF($E38:$N38,"~?")&gt;0,", ","")&amp;"Sésame","")&amp;IF(P38="?",IF(COUNTIF($E38:$O38,"~?")&gt;0,", ","")&amp;"Sulfites","")&amp;IF(Q38="?",IF(COUNTIF($E38:$P38,"~?")&gt;0,", ","")&amp;"Lupin","")&amp;IF(R38="?",IF(COUNTIF($E38:$Q38,"~?")&gt;0,", ","")&amp;"Mollusques","")),"")</f>
        <v/>
      </c>
      <c r="U38" s="209" t="str">
        <f>IF(38=38,IF($B38="","",$B38),"")</f>
        <v>Liqueur de café</v>
      </c>
      <c r="V38" s="209" t="str">
        <f>IF(38=38,LOWER(CLEAN(SUBSTITUTE(SUBSTITUTE(SUBSTITUTE(SUBSTITUTE($U38,CHAR(160)," ")," "," "),CHAR(10)," "),CHAR(13)," "))),"")</f>
        <v>liqueur de café</v>
      </c>
      <c r="W38" s="209" t="str">
        <f>IF(38=38,SUBSTITUTE(SUBSTITUTE(SUBSTITUTE(SUBSTITUTE(SUBSTITUTE(SUBSTITUTE(SUBSTITUTE(SUBSTITUTE(SUBSTITUTE(SUBSTITUTE(SUBSTITUTE(SUBSTITUTE($V38,"œ","oe"),"æ","ae"),"à","a"),"á","a"),"â","a"),"ä","a"),"ã","a"),"ç","c"),"è","e"),"é","e"),"ê","e"),"ë","e"),"")</f>
        <v>liqueur de cafe</v>
      </c>
      <c r="X38" s="209" t="str">
        <f>IF(38=38,SUBSTITUTE(SUBSTITUTE(SUBSTITUTE(SUBSTITUTE(SUBSTITUTE(SUBSTITUTE(SUBSTITUTE(SUBSTITUTE(SUBSTITUTE(SUBSTITUTE(SUBSTITUTE(SUBSTITUTE(SUBSTITUTE(SUBSTITUTE(SUBSTITUTE(SUBSTITUTE($W38,"ì","i"),"í","i"),"î","i"),"ï","i"),"ñ","n"),"ò","o"),"ó","o"),"ô","o"),"ö","o"),"õ","o"),"ù","u"),"ú","u"),"û","u"),"ü","u"),"ý","y"),"ÿ","y"),"")</f>
        <v>liqueur de cafe</v>
      </c>
      <c r="Y38" s="209" t="str">
        <f>IF(38=38,SUBSTITUTE(SUBSTITUTE(SUBSTITUTE(SUBSTITUTE(SUBSTITUTE(SUBSTITUTE(SUBSTITUTE(SUBSTITUTE(SUBSTITUTE(SUBSTITUTE(SUBSTITUTE(SUBSTITUTE(SUBSTITUTE(SUBSTITUTE($X38,"’"," "),"`"," "),"–"," "),"—"," "),"-"," "),"'"," "),"/"," "),"_"," "),","," "),"."," "),"("," "),")"," "),";"," "),":"," "),"")</f>
        <v>liqueur de cafe</v>
      </c>
      <c r="Z38" s="209" t="str">
        <f>IF(38=38,SUBSTITUTE(SUBSTITUTE(SUBSTITUTE(SUBSTITUTE(SUBSTITUTE(SUBSTITUTE(SUBSTITUTE(SUBSTITUTE(SUBSTITUTE(SUBSTITUTE(SUBSTITUTE(SUBSTITUTE(SUBSTITUTE(SUBSTITUTE(SUBSTITUTE($Y38,"!"," "),"?"," "),"+"," "),"*"," "),"&amp;"," "),"["," "),"]"," "),"{"," "),"}"," "),"%"," "),"="," "),"\"," "),"|"," "),"&lt;"," "),"&gt;"," "),"")</f>
        <v>liqueur de cafe</v>
      </c>
      <c r="AA38" s="209" t="str">
        <f>IF(38=38," "&amp;TRIM(SUBSTITUTE(SUBSTITUTE(SUBSTITUTE(SUBSTITUTE(SUBSTITUTE(SUBSTITUTE($Z38,CHAR(34)," "),"  "," "),"  "," "),"  "," "),"  "," "),"  "," "))&amp;" ","")</f>
        <v xml:space="preserve"> liqueur de cafe </v>
      </c>
      <c r="AB38" s="209">
        <f>IF(38=38,IF($U38="","",SUMPRODUCT(--ISNUMBER(SEARCH(" "&amp;$CR$2:$CR$101&amp;" ",$AD38)))),"")</f>
        <v>0</v>
      </c>
      <c r="AC38" s="209">
        <f>IF(38=38,IF($U38="","",SUMPRODUCT(--ISNUMBER(SEARCH(" "&amp;$CR$102:$CR$151&amp;" ",$AD38)))),"")</f>
        <v>0</v>
      </c>
      <c r="AD38" s="209" t="str">
        <f t="shared" si="1"/>
        <v xml:space="preserve"> liqueur de cafe </v>
      </c>
      <c r="AE38" s="209">
        <f t="shared" si="2"/>
        <v>0</v>
      </c>
      <c r="AF38" s="209" t="str">
        <f>IF(38=38,IF($U38="","",IF(SUM(AB38:AC38)+SUMPRODUCT(--ISNUMBER(SEARCH(" "&amp;$CR$2418:$CR$2420&amp;" ",$AD38)))&gt;0,"X",IF(AE38&gt;0,"?",""))),"")</f>
        <v/>
      </c>
      <c r="AG38" s="209">
        <f>IF(38=38,IF($U38="","",SUMPRODUCT(--ISNUMBER(SEARCH(" "&amp;$CR$206:$CR$305&amp;" ",$AA38)))),"")</f>
        <v>0</v>
      </c>
      <c r="AH38" s="209">
        <f>IF(38=38,IF($U38="","",SUMPRODUCT(--ISNUMBER(SEARCH(" "&amp;$CR$306:$CR$340&amp;" ",$AA38)))),"")</f>
        <v>0</v>
      </c>
      <c r="AI38" s="209" t="str">
        <f>IF(38=38,IF($U38="","",IF((SUM(AG38:AH38))-(0)&gt;0,"X",IF((0)-(0)&gt;0,"?",""))),"")</f>
        <v/>
      </c>
      <c r="AJ38" s="209">
        <f>IF(38=38,IF($U38="","",SUMPRODUCT(--ISNUMBER(SEARCH(" "&amp;$CR$341:$CR$398&amp;" ",$AA38)))),"")</f>
        <v>0</v>
      </c>
      <c r="AK38" s="209">
        <f>IF(38=38,IF($U38="","",SUMPRODUCT(--ISNUMBER(SEARCH(" "&amp;$CR$399:$CR$426&amp;" ",$AL38)))+SUMPRODUCT(--ISNUMBER(SEARCH(" "&amp;$CR$2440:$CR$2453&amp;" ",$AL38)))),"")</f>
        <v>0</v>
      </c>
      <c r="AL38" s="209" t="str">
        <f>IF(38=38,IF($U38="","",SUBSTITUTE(SUBSTITUTE(SUBSTITUTE(SUBSTITUTE(SUBSTITUTE(SUBSTITUTE(SUBSTITUTE(SUBSTITUTE(SUBSTITUTE(SUBSTITUTE(SUBSTITUTE(SUBSTITUTE(SUBSTITUTE(SUBSTITUTE($AA38,"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liqueur de cafe </v>
      </c>
      <c r="AM38" s="209" t="str">
        <f>IF(38=38,IF($U38="","",IF(AJ38&gt;0,"X",IF(AK38&gt;0,"?",""))),"")</f>
        <v/>
      </c>
      <c r="AN38" s="209">
        <f>IF(38=38,IF($U38="","",SUMPRODUCT(--ISNUMBER(SEARCH(" "&amp;$CR$436:$CR$535&amp;" ",$AX38)))),"")</f>
        <v>0</v>
      </c>
      <c r="AO38" s="209">
        <f>IF(38=38,IF($U38="","",SUMPRODUCT(--ISNUMBER(SEARCH(" "&amp;$CR$536:$CR$635&amp;" ",$AX38)))),"")</f>
        <v>0</v>
      </c>
      <c r="AP38" s="209">
        <f>IF(38=38,IF($U38="","",SUMPRODUCT(--ISNUMBER(SEARCH(" "&amp;$CR$636:$CR$735&amp;" ",$AX38)))),"")</f>
        <v>0</v>
      </c>
      <c r="AQ38" s="209">
        <f>IF(38=38,IF($U38="","",SUMPRODUCT(--ISNUMBER(SEARCH(" "&amp;$CR$736:$CR$835&amp;" ",$AX38)))),"")</f>
        <v>0</v>
      </c>
      <c r="AR38" s="209">
        <f>IF(38=38,IF($U38="","",SUMPRODUCT(--ISNUMBER(SEARCH(" "&amp;$CR$836:$CR$935&amp;" ",$AX38)))),"")</f>
        <v>0</v>
      </c>
      <c r="AS38" s="209">
        <f>IF(38=38,IF($U38="","",SUMPRODUCT(--ISNUMBER(SEARCH(" "&amp;$CR$936:$CR$1035&amp;" ",$AX38)))),"")</f>
        <v>0</v>
      </c>
      <c r="AT38" s="209">
        <f>IF(38=38,IF($U38="","",SUMPRODUCT(--ISNUMBER(SEARCH(" "&amp;$CR$1036:$CR$1135&amp;" ",$AX38)))),"")</f>
        <v>0</v>
      </c>
      <c r="AU38" s="209">
        <f>IF(38=38,IF($U38="","",SUMPRODUCT(--ISNUMBER(SEARCH(" "&amp;$CR$1136:$CR$1235&amp;" ",$AX38)))),"")</f>
        <v>0</v>
      </c>
      <c r="AV38" s="209">
        <f>IF(38=38,IF($U38="","",SUMPRODUCT(--ISNUMBER(SEARCH(" "&amp;$CR$1236:$CR$1335&amp;" ",$AX38)))),"")</f>
        <v>0</v>
      </c>
      <c r="AW38" s="209">
        <f>IF(38=38,IF($U38="","",SUMPRODUCT(--ISNUMBER(SEARCH(" "&amp;$CR$1336:$CR$1363&amp;" ",$AX38)))),"")</f>
        <v>0</v>
      </c>
      <c r="AX38" s="209" t="str">
        <f>IF(38=38,IF($U38="","",SUBSTITUTE(SUBSTITUTE(SUBSTITUTE(SUBSTITUTE(SUBSTITUTE(SUBSTITUTE(SUBSTITUTE(SUBSTITUTE(SUBSTITUTE($AA38,"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liqueur de cafe </v>
      </c>
      <c r="AY38" s="209">
        <f>IF(38=38,IF($U38="","",SUMPRODUCT(--ISNUMBER(SEARCH(" "&amp;$CR$1373:$CR$1383&amp;" ",$AX38)))),"")</f>
        <v>0</v>
      </c>
      <c r="AZ38" s="209" t="str">
        <f>IF(38=38,IF($U38="","",IF(SUM(AN38:AW38)+SUMPRODUCT(--ISNUMBER(SEARCH(" "&amp;$CR$2421:$CR$2422&amp;" ",$AX38)))&gt;0,"X",IF(AY38&gt;0,"?",""))),"")</f>
        <v/>
      </c>
      <c r="BA38" s="209">
        <f>IF(38=38,IF($U38="","",SUMPRODUCT(--ISNUMBER(SEARCH(" "&amp;$CR$1384:$CR$1404&amp;" ",$AA38)))),"")</f>
        <v>0</v>
      </c>
      <c r="BB38" s="209" t="str">
        <f>IF(38=38,IF($U38="","",IF((BA38)-(0)&gt;0,"X",IF((0)-(0)&gt;0,"?",""))),"")</f>
        <v/>
      </c>
      <c r="BC38" s="209">
        <f>IF(38=38,IF($U38="","",SUMPRODUCT(--ISNUMBER(SEARCH(" "&amp;$CR$1405:$CR$1442&amp;" ",$BD38)))),"")</f>
        <v>0</v>
      </c>
      <c r="BD38" s="209" t="str">
        <f>IF(38=38,IF($U38="","",SUBSTITUTE(SUBSTITUTE($AA38," "&amp;$CR$1443&amp;" "," ")," "&amp;$CR$1444&amp;" "," ")),"")</f>
        <v xml:space="preserve"> liqueur de cafe </v>
      </c>
      <c r="BE38" s="209">
        <f>IF(38=38,IF($U38="","",SUMPRODUCT(--ISNUMBER(SEARCH(" "&amp;$CR$1445:$CR$1455&amp;" ",$BD38)))),"")</f>
        <v>0</v>
      </c>
      <c r="BF38" s="209" t="str">
        <f>IF(38=38,IF($U38="","",IF(BC38&gt;0,"X",IF(BE38&gt;0,"?",""))),"")</f>
        <v/>
      </c>
      <c r="BG38" s="209">
        <f>IF(38=38,IF($U38="","",SUMPRODUCT(--ISNUMBER(SEARCH(" "&amp;$CR$1456:$CR$1555&amp;" ",$BJ38)))),"")</f>
        <v>0</v>
      </c>
      <c r="BH38" s="209">
        <f>IF(38=38,IF($U38="","",SUMPRODUCT(--ISNUMBER(SEARCH(" "&amp;$CR$1556:$CR$1655&amp;" ",$BJ38)))),"")</f>
        <v>0</v>
      </c>
      <c r="BI38" s="209">
        <f>IF(38=38,IF($U38="","",SUMPRODUCT(--ISNUMBER(SEARCH(" "&amp;$CR$1656:$CR$1739&amp;" ",$BJ38)))),"")</f>
        <v>0</v>
      </c>
      <c r="BJ38" s="209" t="str">
        <f>IF(38=38,IF($U38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38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liqueur de cafe </v>
      </c>
      <c r="BK38" s="209">
        <f>IF(38=38,IF($U38="","",SUMPRODUCT(--ISNUMBER(SEARCH(" "&amp;$CR$1790:$CR$1869&amp;" ",$BL38)))+SUMPRODUCT(--ISNUMBER(SEARCH(" "&amp;$CR$2440:$CR$2453&amp;" ",$BL38)))),"")</f>
        <v>0</v>
      </c>
      <c r="BL38" s="209" t="str">
        <f>IF(38=38,IF($U38="","",SUBSTITUTE(SUBSTITUTE(SUBSTITUTE(SUBSTITUTE(SUBSTITUTE(SUBSTITUTE(SUBSTITUTE(SUBSTITUTE(SUBSTITUTE(SUBSTITUTE(SUBSTITUTE(SUBSTITUTE(SUBSTITUTE($BJ38,"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liqueur de cafe </v>
      </c>
      <c r="BM38" s="209" t="str">
        <f>IF(38=38,IF($U38="","",IF(SUM(BG38:BI38)+SUMPRODUCT(--ISNUMBER(SEARCH(" "&amp;$CR$2423:$CR$2424&amp;" ",$BJ38)))&gt;0,"X",IF(BK38&gt;0,"?",""))),"")</f>
        <v/>
      </c>
      <c r="BN38" s="209">
        <f>IF(38=38,IF($U38="","",SUMPRODUCT(--ISNUMBER(SEARCH(" "&amp;$CR$1879:$CR$1936&amp;" ",$BO38)))),"")</f>
        <v>0</v>
      </c>
      <c r="BO38" s="209" t="str">
        <f>IF(38=38,IF($U38="","",SUBSTITUTE(SUBSTITUTE(SUBSTITUTE(SUBSTITUTE(SUBSTITUTE(SUBSTITUTE(SUBSTITUTE(SUBSTITUTE(SUBSTITUTE(SUBSTITUTE(SUBSTITUTE(SUBSTITUTE(SUBSTITUTE(SUBSTITUTE(SUBSTITUTE(SUBSTITUTE(SUBSTITUTE(SUBSTITUTE(SUBSTITUTE(SUBSTITUTE(SUBSTITUTE(SUBSTITUTE(SUBSTITUTE($AA38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liqueur de cafe </v>
      </c>
      <c r="BP38" s="209">
        <f>IF(38=38,IF($U38="","",SUMPRODUCT(--ISNUMBER(SEARCH(" "&amp;$CR$1960:$CR$1976&amp;" ",$BO38)))),"")</f>
        <v>0</v>
      </c>
      <c r="BQ38" s="209" t="str">
        <f>IF(38=38,IF($U38="","",IF(BN38&gt;0,"X",IF(BP38&gt;0,"?",""))),"")</f>
        <v/>
      </c>
      <c r="BR38" s="209">
        <f>IF(38=38,IF($U38="","",SUMPRODUCT(--ISNUMBER(SEARCH(" "&amp;$CR$1977:$CR$1990&amp;" ",$AA38)))),"")</f>
        <v>0</v>
      </c>
      <c r="BS38" s="209">
        <f>IF(38=38,IF($U38="","",SUMPRODUCT(--ISNUMBER(SEARCH(" "&amp;$CR$1991:$CR$2005&amp;" ",$AA38)))),"")</f>
        <v>0</v>
      </c>
      <c r="BT38" s="209" t="str">
        <f>IF(38=38,IF($U38="","",IF((BR38)-(0)&gt;0,"X",IF((BS38)-(0)&gt;0,"?",""))),"")</f>
        <v/>
      </c>
      <c r="BU38" s="209">
        <f>IF(38=38,IF($U38="","",SUMPRODUCT(--ISNUMBER(SEARCH(" "&amp;$CR$2006:$CR$2023&amp;" ",$AA38)))),"")</f>
        <v>0</v>
      </c>
      <c r="BV38" s="209">
        <f>IF(38=38,IF($U38="","",SUMPRODUCT(--ISNUMBER(SEARCH(" "&amp;$CR$2024:$CR$2038&amp;" ",$AA38)))),"")</f>
        <v>0</v>
      </c>
      <c r="BW38" s="209" t="str">
        <f>IF(38=38,IF($U38="","",IF((BU38)-(0)&gt;0,"X",IF((BV38)-(0)&gt;0,"?",""))),"")</f>
        <v/>
      </c>
      <c r="BX38" s="209">
        <f>IF(38=38,IF($U38="","",SUMPRODUCT(--ISNUMBER(SEARCH(" "&amp;$CR$2039:$CR$2057&amp;" ",$AA38)))),"")</f>
        <v>0</v>
      </c>
      <c r="BY38" s="209">
        <f>IF(38=38,IF($U38="","",SUMPRODUCT(--ISNUMBER(SEARCH(" "&amp;$CR$2058:$CR$2072&amp;" ",$AA38)))),"")</f>
        <v>0</v>
      </c>
      <c r="BZ38" s="209" t="str">
        <f>IF(38=38,IF($U38="","",IF((BX38)-(0)&gt;0,"X",IF((BY38)-(0)&gt;0,"?",""))),"")</f>
        <v/>
      </c>
      <c r="CA38" s="209">
        <f>IF(38=38,IF($U38="","",SUMPRODUCT(--ISNUMBER(SEARCH(" "&amp;$CR$2073:$CR$2093&amp;" ",$AA38)))),"")</f>
        <v>0</v>
      </c>
      <c r="CB38" s="209">
        <f>IF(38=38,IF($U38="","",SUMPRODUCT(--ISNUMBER(SEARCH(" "&amp;$CR$2094:$CR$2133&amp;" ",SUBSTITUTE(SUBSTITUTE($AA38," "&amp;$CR$1367&amp;" "," ")," "&amp;$CR$1366&amp;" "," "))))+--ISNUMBER(SEARCH("poiré",$V38))),"")</f>
        <v>0</v>
      </c>
      <c r="CC38" s="209" t="str">
        <f>IF(38=38,IF($U38="","",IF(OR(CA38&gt;0,ISNUMBER(SEARCH(" vinaigre de vin ",$AA38)),ISNUMBER(SEARCH(" vinaigre au vin ",$AA38))),"X",IF(CB38&gt;0,"?",""))),"")</f>
        <v/>
      </c>
      <c r="CD38" s="209">
        <f>IF(38=38,IF($U38="","",SUMPRODUCT(--ISNUMBER(SEARCH(" "&amp;$CR$2134:$CR$2146&amp;" ",$AA38)))),"")</f>
        <v>0</v>
      </c>
      <c r="CE38" s="209">
        <f>IF(38=38,IF($U38="","",SUMPRODUCT(--ISNUMBER(SEARCH(" "&amp;$CR$2147:$CR$2152&amp;" ",$AA38)))),"")</f>
        <v>0</v>
      </c>
      <c r="CF38" s="209" t="str">
        <f>IF(38=38,IF($U38="","",IF((CD38)-(0)&gt;0,"X",IF((CE38)-(0)&gt;0,"?",""))),"")</f>
        <v/>
      </c>
      <c r="CG38" s="209">
        <f>IF(38=38,IF($U38="","",SUMPRODUCT(--ISNUMBER(SEARCH(" "&amp;$CR$2153:$CR$2252&amp;" ",$CJ38)))),"")</f>
        <v>0</v>
      </c>
      <c r="CH38" s="209">
        <f>IF(38=38,IF($U38="","",SUMPRODUCT(--ISNUMBER(SEARCH(" "&amp;$CR$2253:$CR$2352&amp;" ",$CJ38)))),"")</f>
        <v>0</v>
      </c>
      <c r="CI38" s="209">
        <f>IF(38=38,IF($U38="","",SUMPRODUCT(--ISNUMBER(SEARCH(" "&amp;$CR$2353:$CR$2395&amp;" ",$CJ38)))),"")</f>
        <v>0</v>
      </c>
      <c r="CJ38" s="209" t="str">
        <f>IF(38=38,IF($U38="","",SUBSTITUTE(SUBSTITUTE(SUBSTITUTE(SUBSTITUTE(SUBSTITUTE(SUBSTITUTE(SUBSTITUTE(SUBSTITUTE(SUBSTITUTE(SUBSTITUTE(SUBSTITUTE(SUBSTITUTE(SUBSTITUTE(SUBSTITUTE(SUBSTITUTE(SUBSTITUTE($AA38,"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liqueur de cafe </v>
      </c>
      <c r="CK38" s="209">
        <f>IF(38=38,IF($U38="","",SUMPRODUCT(--ISNUMBER(SEARCH(" "&amp;$CR$2412:$CR$2416&amp;" ",$CJ38)))),"")</f>
        <v>0</v>
      </c>
      <c r="CL38" s="209" t="str">
        <f>IF(38=38,IF($U38="","",IF(SUM(CG38:CI38)&gt;0,"X",IF(CK38&gt;0,"?",""))),"")</f>
        <v/>
      </c>
      <c r="CM38" s="210"/>
      <c r="CN38" s="213" t="s">
        <v>1047</v>
      </c>
      <c r="CO38" s="213" t="s">
        <v>878</v>
      </c>
      <c r="CP38" s="213" t="s">
        <v>879</v>
      </c>
      <c r="CQ38" s="213" t="s">
        <v>1048</v>
      </c>
      <c r="CR38" s="213" t="s">
        <v>1048</v>
      </c>
      <c r="CS38" s="213" t="s">
        <v>881</v>
      </c>
      <c r="CT38" s="213" t="s">
        <v>882</v>
      </c>
      <c r="CU38" s="213" t="s">
        <v>883</v>
      </c>
      <c r="CV38" s="214" t="s">
        <v>884</v>
      </c>
      <c r="CX38" s="212">
        <v>1</v>
      </c>
    </row>
    <row r="39" spans="1:102" ht="21" customHeight="1">
      <c r="A39" s="229">
        <v>33</v>
      </c>
      <c r="B39" s="230" t="s">
        <v>6584</v>
      </c>
      <c r="C39" s="231" t="str">
        <f t="shared" si="0"/>
        <v>Liqueur de chocolat ?</v>
      </c>
      <c r="D39" s="232" t="str">
        <f>IF(39=39,IF($B39="","",IF(E39="X",""&amp;"Céréales contenant du gluten","")&amp;IF(F39="X",IF(COUNTIF($E39:$E39,"X")&gt;0,", ","")&amp;"Crustacés","")&amp;IF(G39="X",IF(COUNTIF($E39:$F39,"X")&gt;0,", ","")&amp;"Œufs","")&amp;IF(H39="X",IF(COUNTIF($E39:$G39,"X")&gt;0,", ","")&amp;"Poissons","")&amp;IF(I39="X",IF(COUNTIF($E39:$H39,"X")&gt;0,", ","")&amp;"Arachides","")&amp;IF(J39="X",IF(COUNTIF($E39:$I39,"X")&gt;0,", ","")&amp;"Soja","")&amp;IF(K39="X",IF(COUNTIF($E39:$J39,"X")&gt;0,", ","")&amp;"Lait","")&amp;IF(L39="X",IF(COUNTIF($E39:$K39,"X")&gt;0,", ","")&amp;"Fruits à coque","")&amp;IF(M39="X",IF(COUNTIF($E39:$L39,"X")&gt;0,", ","")&amp;"Céleri","")&amp;IF(N39="X",IF(COUNTIF($E39:$M39,"X")&gt;0,", ","")&amp;"Moutarde","")&amp;IF(O39="X",IF(COUNTIF($E39:$N39,"X")&gt;0,", ","")&amp;"Sésame","")&amp;IF(P39="X",IF(COUNTIF($E39:$O39,"X")&gt;0,", ","")&amp;"Sulfites","")&amp;IF(Q39="X",IF(COUNTIF($E39:$P39,"X")&gt;0,", ","")&amp;"Lupin","")&amp;IF(R39="X",IF(COUNTIF($E39:$Q39,"X")&gt;0,", ","")&amp;"Mollusques","")),"")</f>
        <v/>
      </c>
      <c r="E39" s="233" t="str">
        <f>IF(39=39,IF($B39="","",IF(OR(ISNUMBER(SEARCH(" biere sans gluten ",$AA39)),ISNUMBER(SEARCH(" gluten free beer ",$AA39)),ISNUMBER(SEARCH(" beer gluten free ",$AA39))),"",IF(AF39="X","X",IF(OR(AF39="?",OR(ISNUMBER(SEARCH(" worcestershire ",$AA39)),ISNUMBER(SEARCH(" bloody mary ",$AA39)))),"?","")))),"")</f>
        <v/>
      </c>
      <c r="F39" s="233" t="str">
        <f>IF(39=39,IF($B39="","",AI39),"")</f>
        <v/>
      </c>
      <c r="G39" s="233" t="str">
        <f>IF(39=39,IF($B39="","",IF(OR(TRIM($AA39)="puree pate d amande",TRIM($AA39)="pate puree d amande",TRIM($AA39)="puree d amande",TRIM($AA39)="pate d amande",TRIM($AA39)="pate puree de noisette",TRIM($AA39)="puree pate de noisette",TRIM($AA39)="puree de noisette",TRIM($AA39)="pate de noisette"),"",IF(OR(AM39="X",OR(ISNUMBER(SEARCH(" macaron ",$AA39)),ISNUMBER(SEARCH(" egg nog ",$AA39)),ISNUMBER(SEARCH(" eggnog ",$AA39)))),"X",IF(OR(AM39="?",OR(ISNUMBER(SEARCH(" biscuit decoratif ",$AA39)),ISNUMBER(SEARCH(" whisky sour ",$AA39)),ISNUMBER(SEARCH(" whiskey sour ",$AA39)),ISNUMBER(SEARCH(" amaretto sour ",$AA39)),ISNUMBER(SEARCH(" pisco sour ",$AA39)),ISNUMBER(SEARCH(" clover club ",$AA39)),ISNUMBER(SEARCH(" ramos gin fizz ",$AA39)))),"?","")))),"")</f>
        <v/>
      </c>
      <c r="H39" s="233" t="str">
        <f>IF(39=39,IF($B39="","",IF(ISNUMBER(SEARCH(" colin ",$AA39)),"X",IF(AZ39="X","X",IF(OR(AZ39="?",OR(ISNUMBER(SEARCH(" worcestershire ",$AA39)),ISNUMBER(SEARCH(" bloody mary ",$AA39)))),"?","")))),"")</f>
        <v/>
      </c>
      <c r="I39" s="233" t="str">
        <f>IF(39=39,IF($B39="","",BB39),"")</f>
        <v/>
      </c>
      <c r="J39" s="233" t="str">
        <f>IF(39=39,IF($B39="","",BF39),"")</f>
        <v>?</v>
      </c>
      <c r="K39" s="233" t="str">
        <f>IF(39=39,IF($B39="","",IF(OR(OR(TRIM($AA39)="puree pate d amande",TRIM($AA39)="pate puree d amande",TRIM($AA39)="puree d amande",TRIM($AA39)="pate d amande",TRIM($AA39)="pate puree de noisette",TRIM($AA39)="puree pate de noisette",TRIM($AA39)="puree de noisette",TRIM($AA39)="pate de noisette"),OR(TRIM($AA39)="beurre puree d arachide",TRIM($AA39)="beurre d arachide",TRIM($AA39)="puree d arachide"),OR(TRIM($AA39)="tahini puree de sesame",TRIM($AA39)="tahini",TRIM($AA39)="puree de sesame")),"",IF(OR(TRIM($AA39)="creme de cassis",TRIM($AA39)="creme de menthe",TRIM($AA39)="creme de cacao",TRIM($AA39)="creme de mure",TRIM($AA39)="creme de framboise",TRIM($AA39)="creme de peche",TRIM($AA39)="creme de banane",TRIM($AA39)="liqueur creme de coco",TRIM($AA39)="creme de coco",TRIM($AA39)="spiritueux aromatise arrange creme de spiritueux"),"?",IF(OR(BM39="X",OR(ISNUMBER(SEARCH(" baileys ",$AA39)),ISNUMBER(SEARCH(" irish cream ",$AA39)),ISNUMBER(SEARCH(" creme de whisky ",$AA39)))),"X",IF(OR(BM39="?",OR(OR(TRIM($AA39)="creme de cassis",TRIM($AA39)="creme de menthe",TRIM($AA39)="creme de cacao",TRIM($AA39)="creme de mure",TRIM($AA39)="creme de framboise",TRIM($AA39)="creme de peche",TRIM($AA39)="creme de banane",TRIM($AA39)="liqueur creme de coco",TRIM($AA39)="creme de coco",TRIM($AA39)="spiritueux aromatise arrange creme de spiritueux"),ISNUMBER(SEARCH(" advocaat ",$AA39)),ISNUMBER(SEARCH(" liqueur aux oeufs ",$AA39)),ISNUMBER(SEARCH(" liqueur de chocolat ",$AA39)),ISNUMBER(SEARCH(" liqueur de caramel ",$AA39)),ISNUMBER(SEARCH(" sauce nappage chocolat ",$AA39)),ISNUMBER(SEARCH(" biscuit decoratif ",$AA39)),ISNUMBER(SEARCH(" white russian ",$AA39)),ISNUMBER(SEARCH(" grasshopper ",$AA39)),ISNUMBER(SEARCH(" irish coffee ",$AA39)),ISNUMBER(SEARCH(" ramos gin fizz ",$AA39)),ISNUMBER(SEARCH(" egg nog ",$AA39)),ISNUMBER(SEARCH(" eggnog ",$AA39)))),"?",""))))),"")</f>
        <v>?</v>
      </c>
      <c r="L39" s="233" t="str">
        <f>IF(39=39,IF($B39="","",IF(OR(BQ39="X",OR(OR(TRIM($AA39)="puree pate d amande",TRIM($AA39)="pate puree d amande",TRIM($AA39)="puree d amande",TRIM($AA39)="pate d amande",TRIM($AA39)="pate puree de noisette",TRIM($AA39)="puree pate de noisette",TRIM($AA39)="puree de noisette",TRIM($AA39)="pate de noisette"),ISNUMBER(SEARCH(" macaron ",$AA39)),TRIM($AA39)="fruits a coque")),"X",IF(OR(BQ39="?",OR(ISNUMBER(SEARCH(" sirop d orgeat ",$AA39)),ISNUMBER(SEARCH(" orgeat ",$AA39)),ISNUMBER(SEARCH(" amaretto ",$AA39)))),"?",""))),"")</f>
        <v/>
      </c>
      <c r="M39" s="233" t="str">
        <f>IF(39=39,IF($B39="","",IF(OR(OR(TRIM($AA39)="puree pate d amande",TRIM($AA39)="pate puree d amande",TRIM($AA39)="puree d amande",TRIM($AA39)="pate d amande",TRIM($AA39)="pate puree de noisette",TRIM($AA39)="puree pate de noisette",TRIM($AA39)="puree de noisette",TRIM($AA39)="pate de noisette"),OR(TRIM($AA39)="tahini puree de sesame",TRIM($AA39)="tahini",TRIM($AA39)="puree de sesame")),"",IF(BT39="X","X",IF(OR(BT39="?",ISNUMBER(SEARCH(" bloody mary ",$AA39))),"?","")))),"")</f>
        <v/>
      </c>
      <c r="N39" s="233" t="str">
        <f>IF(39=39,IF($B39="","",IF(OR(OR(TRIM($AA39)="puree pate d amande",TRIM($AA39)="pate puree d amande",TRIM($AA39)="puree d amande",TRIM($AA39)="pate d amande",TRIM($AA39)="pate puree de noisette",TRIM($AA39)="puree pate de noisette",TRIM($AA39)="puree de noisette",TRIM($AA39)="pate de noisette"),OR(TRIM($AA39)="tahini puree de sesame",TRIM($AA39)="tahini",TRIM($AA39)="puree de sesame")),"",IF(BW39="X","X",IF(OR(BW39="?",ISNUMBER(SEARCH(" bloody mary ",$AA39))),"?","")))),"")</f>
        <v/>
      </c>
      <c r="O39" s="233" t="str">
        <f>IF(39=39,IF($B39="","",BZ39),"")</f>
        <v/>
      </c>
      <c r="P39" s="233" t="str">
        <f>IF(39=39,IF($B39="","",CC39),"")</f>
        <v/>
      </c>
      <c r="Q39" s="233" t="str">
        <f>IF(39=39,IF($B39="","",CF39),"")</f>
        <v/>
      </c>
      <c r="R39" s="233" t="str">
        <f>IF(39=39,IF($B39="","",IF(TRIM($AA39)="fruits a coque","",IF(CL39="X","X",IF(OR(CL39="?",OR(ISNUMBER(SEARCH(" clamato ",$AA39)),ISNUMBER(SEARCH(" bloody caesar ",$AA39)))),"?","")))),"")</f>
        <v/>
      </c>
      <c r="S39" s="234" t="str">
        <f>IF(39=39,IF($B39="","",IF(E39="?",""&amp;"Céréales contenant du gluten","")&amp;IF(F39="?",IF(COUNTIF($E39:$E39,"~?")&gt;0,", ","")&amp;"Crustacés","")&amp;IF(G39="?",IF(COUNTIF($E39:$F39,"~?")&gt;0,", ","")&amp;"Œufs","")&amp;IF(H39="?",IF(COUNTIF($E39:$G39,"~?")&gt;0,", ","")&amp;"Poissons","")&amp;IF(I39="?",IF(COUNTIF($E39:$H39,"~?")&gt;0,", ","")&amp;"Arachides","")&amp;IF(J39="?",IF(COUNTIF($E39:$I39,"~?")&gt;0,", ","")&amp;"Soja","")&amp;IF(K39="?",IF(COUNTIF($E39:$J39,"~?")&gt;0,", ","")&amp;"Lait","")&amp;IF(L39="?",IF(COUNTIF($E39:$K39,"~?")&gt;0,", ","")&amp;"Fruits à coque","")&amp;IF(M39="?",IF(COUNTIF($E39:$L39,"~?")&gt;0,", ","")&amp;"Céleri","")&amp;IF(N39="?",IF(COUNTIF($E39:$M39,"~?")&gt;0,", ","")&amp;"Moutarde","")&amp;IF(O39="?",IF(COUNTIF($E39:$N39,"~?")&gt;0,", ","")&amp;"Sésame","")&amp;IF(P39="?",IF(COUNTIF($E39:$O39,"~?")&gt;0,", ","")&amp;"Sulfites","")&amp;IF(Q39="?",IF(COUNTIF($E39:$P39,"~?")&gt;0,", ","")&amp;"Lupin","")&amp;IF(R39="?",IF(COUNTIF($E39:$Q39,"~?")&gt;0,", ","")&amp;"Mollusques","")),"")</f>
        <v>Soja, Lait</v>
      </c>
      <c r="U39" s="209" t="str">
        <f>IF(39=39,IF($B39="","",$B39),"")</f>
        <v>Liqueur de chocolat</v>
      </c>
      <c r="V39" s="209" t="str">
        <f>IF(39=39,LOWER(CLEAN(SUBSTITUTE(SUBSTITUTE(SUBSTITUTE(SUBSTITUTE($U39,CHAR(160)," ")," "," "),CHAR(10)," "),CHAR(13)," "))),"")</f>
        <v>liqueur de chocolat</v>
      </c>
      <c r="W39" s="209" t="str">
        <f>IF(39=39,SUBSTITUTE(SUBSTITUTE(SUBSTITUTE(SUBSTITUTE(SUBSTITUTE(SUBSTITUTE(SUBSTITUTE(SUBSTITUTE(SUBSTITUTE(SUBSTITUTE(SUBSTITUTE(SUBSTITUTE($V39,"œ","oe"),"æ","ae"),"à","a"),"á","a"),"â","a"),"ä","a"),"ã","a"),"ç","c"),"è","e"),"é","e"),"ê","e"),"ë","e"),"")</f>
        <v>liqueur de chocolat</v>
      </c>
      <c r="X39" s="209" t="str">
        <f>IF(39=39,SUBSTITUTE(SUBSTITUTE(SUBSTITUTE(SUBSTITUTE(SUBSTITUTE(SUBSTITUTE(SUBSTITUTE(SUBSTITUTE(SUBSTITUTE(SUBSTITUTE(SUBSTITUTE(SUBSTITUTE(SUBSTITUTE(SUBSTITUTE(SUBSTITUTE(SUBSTITUTE($W39,"ì","i"),"í","i"),"î","i"),"ï","i"),"ñ","n"),"ò","o"),"ó","o"),"ô","o"),"ö","o"),"õ","o"),"ù","u"),"ú","u"),"û","u"),"ü","u"),"ý","y"),"ÿ","y"),"")</f>
        <v>liqueur de chocolat</v>
      </c>
      <c r="Y39" s="209" t="str">
        <f>IF(39=39,SUBSTITUTE(SUBSTITUTE(SUBSTITUTE(SUBSTITUTE(SUBSTITUTE(SUBSTITUTE(SUBSTITUTE(SUBSTITUTE(SUBSTITUTE(SUBSTITUTE(SUBSTITUTE(SUBSTITUTE(SUBSTITUTE(SUBSTITUTE($X39,"’"," "),"`"," "),"–"," "),"—"," "),"-"," "),"'"," "),"/"," "),"_"," "),","," "),"."," "),"("," "),")"," "),";"," "),":"," "),"")</f>
        <v>liqueur de chocolat</v>
      </c>
      <c r="Z39" s="209" t="str">
        <f>IF(39=39,SUBSTITUTE(SUBSTITUTE(SUBSTITUTE(SUBSTITUTE(SUBSTITUTE(SUBSTITUTE(SUBSTITUTE(SUBSTITUTE(SUBSTITUTE(SUBSTITUTE(SUBSTITUTE(SUBSTITUTE(SUBSTITUTE(SUBSTITUTE(SUBSTITUTE($Y39,"!"," "),"?"," "),"+"," "),"*"," "),"&amp;"," "),"["," "),"]"," "),"{"," "),"}"," "),"%"," "),"="," "),"\"," "),"|"," "),"&lt;"," "),"&gt;"," "),"")</f>
        <v>liqueur de chocolat</v>
      </c>
      <c r="AA39" s="209" t="str">
        <f>IF(39=39," "&amp;TRIM(SUBSTITUTE(SUBSTITUTE(SUBSTITUTE(SUBSTITUTE(SUBSTITUTE(SUBSTITUTE($Z39,CHAR(34)," "),"  "," "),"  "," "),"  "," "),"  "," "),"  "," "))&amp;" ","")</f>
        <v xml:space="preserve"> liqueur de chocolat </v>
      </c>
      <c r="AB39" s="209">
        <f>IF(39=39,IF($U39="","",SUMPRODUCT(--ISNUMBER(SEARCH(" "&amp;$CR$2:$CR$101&amp;" ",$AD39)))),"")</f>
        <v>0</v>
      </c>
      <c r="AC39" s="209">
        <f>IF(39=39,IF($U39="","",SUMPRODUCT(--ISNUMBER(SEARCH(" "&amp;$CR$102:$CR$151&amp;" ",$AD39)))),"")</f>
        <v>0</v>
      </c>
      <c r="AD39" s="209" t="str">
        <f t="shared" si="1"/>
        <v xml:space="preserve"> liqueur de chocolat </v>
      </c>
      <c r="AE39" s="209">
        <f t="shared" si="2"/>
        <v>0</v>
      </c>
      <c r="AF39" s="209" t="str">
        <f>IF(39=39,IF($U39="","",IF(SUM(AB39:AC39)+SUMPRODUCT(--ISNUMBER(SEARCH(" "&amp;$CR$2418:$CR$2420&amp;" ",$AD39)))&gt;0,"X",IF(AE39&gt;0,"?",""))),"")</f>
        <v/>
      </c>
      <c r="AG39" s="209">
        <f>IF(39=39,IF($U39="","",SUMPRODUCT(--ISNUMBER(SEARCH(" "&amp;$CR$206:$CR$305&amp;" ",$AA39)))),"")</f>
        <v>0</v>
      </c>
      <c r="AH39" s="209">
        <f>IF(39=39,IF($U39="","",SUMPRODUCT(--ISNUMBER(SEARCH(" "&amp;$CR$306:$CR$340&amp;" ",$AA39)))),"")</f>
        <v>0</v>
      </c>
      <c r="AI39" s="209" t="str">
        <f>IF(39=39,IF($U39="","",IF((SUM(AG39:AH39))-(0)&gt;0,"X",IF((0)-(0)&gt;0,"?",""))),"")</f>
        <v/>
      </c>
      <c r="AJ39" s="209">
        <f>IF(39=39,IF($U39="","",SUMPRODUCT(--ISNUMBER(SEARCH(" "&amp;$CR$341:$CR$398&amp;" ",$AA39)))),"")</f>
        <v>0</v>
      </c>
      <c r="AK39" s="209">
        <f>IF(39=39,IF($U39="","",SUMPRODUCT(--ISNUMBER(SEARCH(" "&amp;$CR$399:$CR$426&amp;" ",$AL39)))+SUMPRODUCT(--ISNUMBER(SEARCH(" "&amp;$CR$2440:$CR$2453&amp;" ",$AL39)))),"")</f>
        <v>0</v>
      </c>
      <c r="AL39" s="209" t="str">
        <f>IF(39=39,IF($U39="","",SUBSTITUTE(SUBSTITUTE(SUBSTITUTE(SUBSTITUTE(SUBSTITUTE(SUBSTITUTE(SUBSTITUTE(SUBSTITUTE(SUBSTITUTE(SUBSTITUTE(SUBSTITUTE(SUBSTITUTE(SUBSTITUTE(SUBSTITUTE($AA39,"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liqueur de chocolat </v>
      </c>
      <c r="AM39" s="209" t="str">
        <f>IF(39=39,IF($U39="","",IF(AJ39&gt;0,"X",IF(AK39&gt;0,"?",""))),"")</f>
        <v/>
      </c>
      <c r="AN39" s="209">
        <f>IF(39=39,IF($U39="","",SUMPRODUCT(--ISNUMBER(SEARCH(" "&amp;$CR$436:$CR$535&amp;" ",$AX39)))),"")</f>
        <v>0</v>
      </c>
      <c r="AO39" s="209">
        <f>IF(39=39,IF($U39="","",SUMPRODUCT(--ISNUMBER(SEARCH(" "&amp;$CR$536:$CR$635&amp;" ",$AX39)))),"")</f>
        <v>0</v>
      </c>
      <c r="AP39" s="209">
        <f>IF(39=39,IF($U39="","",SUMPRODUCT(--ISNUMBER(SEARCH(" "&amp;$CR$636:$CR$735&amp;" ",$AX39)))),"")</f>
        <v>0</v>
      </c>
      <c r="AQ39" s="209">
        <f>IF(39=39,IF($U39="","",SUMPRODUCT(--ISNUMBER(SEARCH(" "&amp;$CR$736:$CR$835&amp;" ",$AX39)))),"")</f>
        <v>0</v>
      </c>
      <c r="AR39" s="209">
        <f>IF(39=39,IF($U39="","",SUMPRODUCT(--ISNUMBER(SEARCH(" "&amp;$CR$836:$CR$935&amp;" ",$AX39)))),"")</f>
        <v>0</v>
      </c>
      <c r="AS39" s="209">
        <f>IF(39=39,IF($U39="","",SUMPRODUCT(--ISNUMBER(SEARCH(" "&amp;$CR$936:$CR$1035&amp;" ",$AX39)))),"")</f>
        <v>0</v>
      </c>
      <c r="AT39" s="209">
        <f>IF(39=39,IF($U39="","",SUMPRODUCT(--ISNUMBER(SEARCH(" "&amp;$CR$1036:$CR$1135&amp;" ",$AX39)))),"")</f>
        <v>0</v>
      </c>
      <c r="AU39" s="209">
        <f>IF(39=39,IF($U39="","",SUMPRODUCT(--ISNUMBER(SEARCH(" "&amp;$CR$1136:$CR$1235&amp;" ",$AX39)))),"")</f>
        <v>0</v>
      </c>
      <c r="AV39" s="209">
        <f>IF(39=39,IF($U39="","",SUMPRODUCT(--ISNUMBER(SEARCH(" "&amp;$CR$1236:$CR$1335&amp;" ",$AX39)))),"")</f>
        <v>0</v>
      </c>
      <c r="AW39" s="209">
        <f>IF(39=39,IF($U39="","",SUMPRODUCT(--ISNUMBER(SEARCH(" "&amp;$CR$1336:$CR$1363&amp;" ",$AX39)))),"")</f>
        <v>0</v>
      </c>
      <c r="AX39" s="209" t="str">
        <f>IF(39=39,IF($U39="","",SUBSTITUTE(SUBSTITUTE(SUBSTITUTE(SUBSTITUTE(SUBSTITUTE(SUBSTITUTE(SUBSTITUTE(SUBSTITUTE(SUBSTITUTE($AA39,"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liqueur de chocolat </v>
      </c>
      <c r="AY39" s="209">
        <f>IF(39=39,IF($U39="","",SUMPRODUCT(--ISNUMBER(SEARCH(" "&amp;$CR$1373:$CR$1383&amp;" ",$AX39)))),"")</f>
        <v>0</v>
      </c>
      <c r="AZ39" s="209" t="str">
        <f>IF(39=39,IF($U39="","",IF(SUM(AN39:AW39)+SUMPRODUCT(--ISNUMBER(SEARCH(" "&amp;$CR$2421:$CR$2422&amp;" ",$AX39)))&gt;0,"X",IF(AY39&gt;0,"?",""))),"")</f>
        <v/>
      </c>
      <c r="BA39" s="209">
        <f>IF(39=39,IF($U39="","",SUMPRODUCT(--ISNUMBER(SEARCH(" "&amp;$CR$1384:$CR$1404&amp;" ",$AA39)))),"")</f>
        <v>0</v>
      </c>
      <c r="BB39" s="209" t="str">
        <f>IF(39=39,IF($U39="","",IF((BA39)-(0)&gt;0,"X",IF((0)-(0)&gt;0,"?",""))),"")</f>
        <v/>
      </c>
      <c r="BC39" s="209">
        <f>IF(39=39,IF($U39="","",SUMPRODUCT(--ISNUMBER(SEARCH(" "&amp;$CR$1405:$CR$1442&amp;" ",$BD39)))),"")</f>
        <v>0</v>
      </c>
      <c r="BD39" s="209" t="str">
        <f>IF(39=39,IF($U39="","",SUBSTITUTE(SUBSTITUTE($AA39," "&amp;$CR$1443&amp;" "," ")," "&amp;$CR$1444&amp;" "," ")),"")</f>
        <v xml:space="preserve"> liqueur de chocolat </v>
      </c>
      <c r="BE39" s="209">
        <f>IF(39=39,IF($U39="","",SUMPRODUCT(--ISNUMBER(SEARCH(" "&amp;$CR$1445:$CR$1455&amp;" ",$BD39)))),"")</f>
        <v>1</v>
      </c>
      <c r="BF39" s="209" t="str">
        <f>IF(39=39,IF($U39="","",IF(BC39&gt;0,"X",IF(BE39&gt;0,"?",""))),"")</f>
        <v>?</v>
      </c>
      <c r="BG39" s="209">
        <f>IF(39=39,IF($U39="","",SUMPRODUCT(--ISNUMBER(SEARCH(" "&amp;$CR$1456:$CR$1555&amp;" ",$BJ39)))),"")</f>
        <v>0</v>
      </c>
      <c r="BH39" s="209">
        <f>IF(39=39,IF($U39="","",SUMPRODUCT(--ISNUMBER(SEARCH(" "&amp;$CR$1556:$CR$1655&amp;" ",$BJ39)))),"")</f>
        <v>0</v>
      </c>
      <c r="BI39" s="209">
        <f>IF(39=39,IF($U39="","",SUMPRODUCT(--ISNUMBER(SEARCH(" "&amp;$CR$1656:$CR$1739&amp;" ",$BJ39)))),"")</f>
        <v>0</v>
      </c>
      <c r="BJ39" s="209" t="str">
        <f>IF(39=39,IF($U39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39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liqueur de chocolat </v>
      </c>
      <c r="BK39" s="209">
        <f>IF(39=39,IF($U39="","",SUMPRODUCT(--ISNUMBER(SEARCH(" "&amp;$CR$1790:$CR$1869&amp;" ",$BL39)))+SUMPRODUCT(--ISNUMBER(SEARCH(" "&amp;$CR$2440:$CR$2453&amp;" ",$BL39)))),"")</f>
        <v>0</v>
      </c>
      <c r="BL39" s="209" t="str">
        <f>IF(39=39,IF($U39="","",SUBSTITUTE(SUBSTITUTE(SUBSTITUTE(SUBSTITUTE(SUBSTITUTE(SUBSTITUTE(SUBSTITUTE(SUBSTITUTE(SUBSTITUTE(SUBSTITUTE(SUBSTITUTE(SUBSTITUTE(SUBSTITUTE($BJ39,"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liqueur de chocolat </v>
      </c>
      <c r="BM39" s="209" t="str">
        <f>IF(39=39,IF($U39="","",IF(SUM(BG39:BI39)+SUMPRODUCT(--ISNUMBER(SEARCH(" "&amp;$CR$2423:$CR$2424&amp;" ",$BJ39)))&gt;0,"X",IF(BK39&gt;0,"?",""))),"")</f>
        <v/>
      </c>
      <c r="BN39" s="209">
        <f>IF(39=39,IF($U39="","",SUMPRODUCT(--ISNUMBER(SEARCH(" "&amp;$CR$1879:$CR$1936&amp;" ",$BO39)))),"")</f>
        <v>0</v>
      </c>
      <c r="BO39" s="209" t="str">
        <f>IF(39=39,IF($U39="","",SUBSTITUTE(SUBSTITUTE(SUBSTITUTE(SUBSTITUTE(SUBSTITUTE(SUBSTITUTE(SUBSTITUTE(SUBSTITUTE(SUBSTITUTE(SUBSTITUTE(SUBSTITUTE(SUBSTITUTE(SUBSTITUTE(SUBSTITUTE(SUBSTITUTE(SUBSTITUTE(SUBSTITUTE(SUBSTITUTE(SUBSTITUTE(SUBSTITUTE(SUBSTITUTE(SUBSTITUTE(SUBSTITUTE($AA39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liqueur de chocolat </v>
      </c>
      <c r="BP39" s="209">
        <f>IF(39=39,IF($U39="","",SUMPRODUCT(--ISNUMBER(SEARCH(" "&amp;$CR$1960:$CR$1976&amp;" ",$BO39)))),"")</f>
        <v>0</v>
      </c>
      <c r="BQ39" s="209" t="str">
        <f>IF(39=39,IF($U39="","",IF(BN39&gt;0,"X",IF(BP39&gt;0,"?",""))),"")</f>
        <v/>
      </c>
      <c r="BR39" s="209">
        <f>IF(39=39,IF($U39="","",SUMPRODUCT(--ISNUMBER(SEARCH(" "&amp;$CR$1977:$CR$1990&amp;" ",$AA39)))),"")</f>
        <v>0</v>
      </c>
      <c r="BS39" s="209">
        <f>IF(39=39,IF($U39="","",SUMPRODUCT(--ISNUMBER(SEARCH(" "&amp;$CR$1991:$CR$2005&amp;" ",$AA39)))),"")</f>
        <v>0</v>
      </c>
      <c r="BT39" s="209" t="str">
        <f>IF(39=39,IF($U39="","",IF((BR39)-(0)&gt;0,"X",IF((BS39)-(0)&gt;0,"?",""))),"")</f>
        <v/>
      </c>
      <c r="BU39" s="209">
        <f>IF(39=39,IF($U39="","",SUMPRODUCT(--ISNUMBER(SEARCH(" "&amp;$CR$2006:$CR$2023&amp;" ",$AA39)))),"")</f>
        <v>0</v>
      </c>
      <c r="BV39" s="209">
        <f>IF(39=39,IF($U39="","",SUMPRODUCT(--ISNUMBER(SEARCH(" "&amp;$CR$2024:$CR$2038&amp;" ",$AA39)))),"")</f>
        <v>0</v>
      </c>
      <c r="BW39" s="209" t="str">
        <f>IF(39=39,IF($U39="","",IF((BU39)-(0)&gt;0,"X",IF((BV39)-(0)&gt;0,"?",""))),"")</f>
        <v/>
      </c>
      <c r="BX39" s="209">
        <f>IF(39=39,IF($U39="","",SUMPRODUCT(--ISNUMBER(SEARCH(" "&amp;$CR$2039:$CR$2057&amp;" ",$AA39)))),"")</f>
        <v>0</v>
      </c>
      <c r="BY39" s="209">
        <f>IF(39=39,IF($U39="","",SUMPRODUCT(--ISNUMBER(SEARCH(" "&amp;$CR$2058:$CR$2072&amp;" ",$AA39)))),"")</f>
        <v>0</v>
      </c>
      <c r="BZ39" s="209" t="str">
        <f>IF(39=39,IF($U39="","",IF((BX39)-(0)&gt;0,"X",IF((BY39)-(0)&gt;0,"?",""))),"")</f>
        <v/>
      </c>
      <c r="CA39" s="209">
        <f>IF(39=39,IF($U39="","",SUMPRODUCT(--ISNUMBER(SEARCH(" "&amp;$CR$2073:$CR$2093&amp;" ",$AA39)))),"")</f>
        <v>0</v>
      </c>
      <c r="CB39" s="209">
        <f>IF(39=39,IF($U39="","",SUMPRODUCT(--ISNUMBER(SEARCH(" "&amp;$CR$2094:$CR$2133&amp;" ",SUBSTITUTE(SUBSTITUTE($AA39," "&amp;$CR$1367&amp;" "," ")," "&amp;$CR$1366&amp;" "," "))))+--ISNUMBER(SEARCH("poiré",$V39))),"")</f>
        <v>0</v>
      </c>
      <c r="CC39" s="209" t="str">
        <f>IF(39=39,IF($U39="","",IF(OR(CA39&gt;0,ISNUMBER(SEARCH(" vinaigre de vin ",$AA39)),ISNUMBER(SEARCH(" vinaigre au vin ",$AA39))),"X",IF(CB39&gt;0,"?",""))),"")</f>
        <v/>
      </c>
      <c r="CD39" s="209">
        <f>IF(39=39,IF($U39="","",SUMPRODUCT(--ISNUMBER(SEARCH(" "&amp;$CR$2134:$CR$2146&amp;" ",$AA39)))),"")</f>
        <v>0</v>
      </c>
      <c r="CE39" s="209">
        <f>IF(39=39,IF($U39="","",SUMPRODUCT(--ISNUMBER(SEARCH(" "&amp;$CR$2147:$CR$2152&amp;" ",$AA39)))),"")</f>
        <v>0</v>
      </c>
      <c r="CF39" s="209" t="str">
        <f>IF(39=39,IF($U39="","",IF((CD39)-(0)&gt;0,"X",IF((CE39)-(0)&gt;0,"?",""))),"")</f>
        <v/>
      </c>
      <c r="CG39" s="209">
        <f>IF(39=39,IF($U39="","",SUMPRODUCT(--ISNUMBER(SEARCH(" "&amp;$CR$2153:$CR$2252&amp;" ",$CJ39)))),"")</f>
        <v>0</v>
      </c>
      <c r="CH39" s="209">
        <f>IF(39=39,IF($U39="","",SUMPRODUCT(--ISNUMBER(SEARCH(" "&amp;$CR$2253:$CR$2352&amp;" ",$CJ39)))),"")</f>
        <v>0</v>
      </c>
      <c r="CI39" s="209">
        <f>IF(39=39,IF($U39="","",SUMPRODUCT(--ISNUMBER(SEARCH(" "&amp;$CR$2353:$CR$2395&amp;" ",$CJ39)))),"")</f>
        <v>0</v>
      </c>
      <c r="CJ39" s="209" t="str">
        <f>IF(39=39,IF($U39="","",SUBSTITUTE(SUBSTITUTE(SUBSTITUTE(SUBSTITUTE(SUBSTITUTE(SUBSTITUTE(SUBSTITUTE(SUBSTITUTE(SUBSTITUTE(SUBSTITUTE(SUBSTITUTE(SUBSTITUTE(SUBSTITUTE(SUBSTITUTE(SUBSTITUTE(SUBSTITUTE($AA39,"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liqueur de chocolat </v>
      </c>
      <c r="CK39" s="209">
        <f>IF(39=39,IF($U39="","",SUMPRODUCT(--ISNUMBER(SEARCH(" "&amp;$CR$2412:$CR$2416&amp;" ",$CJ39)))),"")</f>
        <v>0</v>
      </c>
      <c r="CL39" s="209" t="str">
        <f>IF(39=39,IF($U39="","",IF(SUM(CG39:CI39)&gt;0,"X",IF(CK39&gt;0,"?",""))),"")</f>
        <v/>
      </c>
      <c r="CM39" s="210"/>
      <c r="CN39" s="213" t="s">
        <v>1049</v>
      </c>
      <c r="CO39" s="213" t="s">
        <v>878</v>
      </c>
      <c r="CP39" s="213" t="s">
        <v>879</v>
      </c>
      <c r="CQ39" s="213" t="s">
        <v>1050</v>
      </c>
      <c r="CR39" s="213" t="s">
        <v>1051</v>
      </c>
      <c r="CS39" s="213" t="s">
        <v>881</v>
      </c>
      <c r="CT39" s="213" t="s">
        <v>882</v>
      </c>
      <c r="CU39" s="213" t="s">
        <v>883</v>
      </c>
      <c r="CV39" s="214" t="s">
        <v>884</v>
      </c>
      <c r="CX39" s="212">
        <v>1</v>
      </c>
    </row>
    <row r="40" spans="1:102" ht="21" customHeight="1">
      <c r="A40" s="229">
        <v>34</v>
      </c>
      <c r="B40" s="230" t="s">
        <v>6589</v>
      </c>
      <c r="C40" s="231" t="str">
        <f t="shared" si="0"/>
        <v>Liqueur de caramel ?</v>
      </c>
      <c r="D40" s="232" t="str">
        <f>IF(40=40,IF($B40="","",IF(E40="X",""&amp;"Céréales contenant du gluten","")&amp;IF(F40="X",IF(COUNTIF($E40:$E40,"X")&gt;0,", ","")&amp;"Crustacés","")&amp;IF(G40="X",IF(COUNTIF($E40:$F40,"X")&gt;0,", ","")&amp;"Œufs","")&amp;IF(H40="X",IF(COUNTIF($E40:$G40,"X")&gt;0,", ","")&amp;"Poissons","")&amp;IF(I40="X",IF(COUNTIF($E40:$H40,"X")&gt;0,", ","")&amp;"Arachides","")&amp;IF(J40="X",IF(COUNTIF($E40:$I40,"X")&gt;0,", ","")&amp;"Soja","")&amp;IF(K40="X",IF(COUNTIF($E40:$J40,"X")&gt;0,", ","")&amp;"Lait","")&amp;IF(L40="X",IF(COUNTIF($E40:$K40,"X")&gt;0,", ","")&amp;"Fruits à coque","")&amp;IF(M40="X",IF(COUNTIF($E40:$L40,"X")&gt;0,", ","")&amp;"Céleri","")&amp;IF(N40="X",IF(COUNTIF($E40:$M40,"X")&gt;0,", ","")&amp;"Moutarde","")&amp;IF(O40="X",IF(COUNTIF($E40:$N40,"X")&gt;0,", ","")&amp;"Sésame","")&amp;IF(P40="X",IF(COUNTIF($E40:$O40,"X")&gt;0,", ","")&amp;"Sulfites","")&amp;IF(Q40="X",IF(COUNTIF($E40:$P40,"X")&gt;0,", ","")&amp;"Lupin","")&amp;IF(R40="X",IF(COUNTIF($E40:$Q40,"X")&gt;0,", ","")&amp;"Mollusques","")),"")</f>
        <v/>
      </c>
      <c r="E40" s="233" t="str">
        <f>IF(40=40,IF($B40="","",IF(OR(ISNUMBER(SEARCH(" biere sans gluten ",$AA40)),ISNUMBER(SEARCH(" gluten free beer ",$AA40)),ISNUMBER(SEARCH(" beer gluten free ",$AA40))),"",IF(AF40="X","X",IF(OR(AF40="?",OR(ISNUMBER(SEARCH(" worcestershire ",$AA40)),ISNUMBER(SEARCH(" bloody mary ",$AA40)))),"?","")))),"")</f>
        <v/>
      </c>
      <c r="F40" s="233" t="str">
        <f>IF(40=40,IF($B40="","",AI40),"")</f>
        <v/>
      </c>
      <c r="G40" s="233" t="str">
        <f>IF(40=40,IF($B40="","",IF(OR(TRIM($AA40)="puree pate d amande",TRIM($AA40)="pate puree d amande",TRIM($AA40)="puree d amande",TRIM($AA40)="pate d amande",TRIM($AA40)="pate puree de noisette",TRIM($AA40)="puree pate de noisette",TRIM($AA40)="puree de noisette",TRIM($AA40)="pate de noisette"),"",IF(OR(AM40="X",OR(ISNUMBER(SEARCH(" macaron ",$AA40)),ISNUMBER(SEARCH(" egg nog ",$AA40)),ISNUMBER(SEARCH(" eggnog ",$AA40)))),"X",IF(OR(AM40="?",OR(ISNUMBER(SEARCH(" biscuit decoratif ",$AA40)),ISNUMBER(SEARCH(" whisky sour ",$AA40)),ISNUMBER(SEARCH(" whiskey sour ",$AA40)),ISNUMBER(SEARCH(" amaretto sour ",$AA40)),ISNUMBER(SEARCH(" pisco sour ",$AA40)),ISNUMBER(SEARCH(" clover club ",$AA40)),ISNUMBER(SEARCH(" ramos gin fizz ",$AA40)))),"?","")))),"")</f>
        <v/>
      </c>
      <c r="H40" s="233" t="str">
        <f>IF(40=40,IF($B40="","",IF(ISNUMBER(SEARCH(" colin ",$AA40)),"X",IF(AZ40="X","X",IF(OR(AZ40="?",OR(ISNUMBER(SEARCH(" worcestershire ",$AA40)),ISNUMBER(SEARCH(" bloody mary ",$AA40)))),"?","")))),"")</f>
        <v/>
      </c>
      <c r="I40" s="233" t="str">
        <f>IF(40=40,IF($B40="","",BB40),"")</f>
        <v/>
      </c>
      <c r="J40" s="233" t="str">
        <f>IF(40=40,IF($B40="","",BF40),"")</f>
        <v/>
      </c>
      <c r="K40" s="233" t="str">
        <f>IF(40=40,IF($B40="","",IF(OR(OR(TRIM($AA40)="puree pate d amande",TRIM($AA40)="pate puree d amande",TRIM($AA40)="puree d amande",TRIM($AA40)="pate d amande",TRIM($AA40)="pate puree de noisette",TRIM($AA40)="puree pate de noisette",TRIM($AA40)="puree de noisette",TRIM($AA40)="pate de noisette"),OR(TRIM($AA40)="beurre puree d arachide",TRIM($AA40)="beurre d arachide",TRIM($AA40)="puree d arachide"),OR(TRIM($AA40)="tahini puree de sesame",TRIM($AA40)="tahini",TRIM($AA40)="puree de sesame")),"",IF(OR(TRIM($AA40)="creme de cassis",TRIM($AA40)="creme de menthe",TRIM($AA40)="creme de cacao",TRIM($AA40)="creme de mure",TRIM($AA40)="creme de framboise",TRIM($AA40)="creme de peche",TRIM($AA40)="creme de banane",TRIM($AA40)="liqueur creme de coco",TRIM($AA40)="creme de coco",TRIM($AA40)="spiritueux aromatise arrange creme de spiritueux"),"?",IF(OR(BM40="X",OR(ISNUMBER(SEARCH(" baileys ",$AA40)),ISNUMBER(SEARCH(" irish cream ",$AA40)),ISNUMBER(SEARCH(" creme de whisky ",$AA40)))),"X",IF(OR(BM40="?",OR(OR(TRIM($AA40)="creme de cassis",TRIM($AA40)="creme de menthe",TRIM($AA40)="creme de cacao",TRIM($AA40)="creme de mure",TRIM($AA40)="creme de framboise",TRIM($AA40)="creme de peche",TRIM($AA40)="creme de banane",TRIM($AA40)="liqueur creme de coco",TRIM($AA40)="creme de coco",TRIM($AA40)="spiritueux aromatise arrange creme de spiritueux"),ISNUMBER(SEARCH(" advocaat ",$AA40)),ISNUMBER(SEARCH(" liqueur aux oeufs ",$AA40)),ISNUMBER(SEARCH(" liqueur de chocolat ",$AA40)),ISNUMBER(SEARCH(" liqueur de caramel ",$AA40)),ISNUMBER(SEARCH(" sauce nappage chocolat ",$AA40)),ISNUMBER(SEARCH(" biscuit decoratif ",$AA40)),ISNUMBER(SEARCH(" white russian ",$AA40)),ISNUMBER(SEARCH(" grasshopper ",$AA40)),ISNUMBER(SEARCH(" irish coffee ",$AA40)),ISNUMBER(SEARCH(" ramos gin fizz ",$AA40)),ISNUMBER(SEARCH(" egg nog ",$AA40)),ISNUMBER(SEARCH(" eggnog ",$AA40)))),"?",""))))),"")</f>
        <v>?</v>
      </c>
      <c r="L40" s="233" t="str">
        <f>IF(40=40,IF($B40="","",IF(OR(BQ40="X",OR(OR(TRIM($AA40)="puree pate d amande",TRIM($AA40)="pate puree d amande",TRIM($AA40)="puree d amande",TRIM($AA40)="pate d amande",TRIM($AA40)="pate puree de noisette",TRIM($AA40)="puree pate de noisette",TRIM($AA40)="puree de noisette",TRIM($AA40)="pate de noisette"),ISNUMBER(SEARCH(" macaron ",$AA40)),TRIM($AA40)="fruits a coque")),"X",IF(OR(BQ40="?",OR(ISNUMBER(SEARCH(" sirop d orgeat ",$AA40)),ISNUMBER(SEARCH(" orgeat ",$AA40)),ISNUMBER(SEARCH(" amaretto ",$AA40)))),"?",""))),"")</f>
        <v/>
      </c>
      <c r="M40" s="233" t="str">
        <f>IF(40=40,IF($B40="","",IF(OR(OR(TRIM($AA40)="puree pate d amande",TRIM($AA40)="pate puree d amande",TRIM($AA40)="puree d amande",TRIM($AA40)="pate d amande",TRIM($AA40)="pate puree de noisette",TRIM($AA40)="puree pate de noisette",TRIM($AA40)="puree de noisette",TRIM($AA40)="pate de noisette"),OR(TRIM($AA40)="tahini puree de sesame",TRIM($AA40)="tahini",TRIM($AA40)="puree de sesame")),"",IF(BT40="X","X",IF(OR(BT40="?",ISNUMBER(SEARCH(" bloody mary ",$AA40))),"?","")))),"")</f>
        <v/>
      </c>
      <c r="N40" s="233" t="str">
        <f>IF(40=40,IF($B40="","",IF(OR(OR(TRIM($AA40)="puree pate d amande",TRIM($AA40)="pate puree d amande",TRIM($AA40)="puree d amande",TRIM($AA40)="pate d amande",TRIM($AA40)="pate puree de noisette",TRIM($AA40)="puree pate de noisette",TRIM($AA40)="puree de noisette",TRIM($AA40)="pate de noisette"),OR(TRIM($AA40)="tahini puree de sesame",TRIM($AA40)="tahini",TRIM($AA40)="puree de sesame")),"",IF(BW40="X","X",IF(OR(BW40="?",ISNUMBER(SEARCH(" bloody mary ",$AA40))),"?","")))),"")</f>
        <v/>
      </c>
      <c r="O40" s="233" t="str">
        <f>IF(40=40,IF($B40="","",BZ40),"")</f>
        <v/>
      </c>
      <c r="P40" s="233" t="str">
        <f>IF(40=40,IF($B40="","",CC40),"")</f>
        <v/>
      </c>
      <c r="Q40" s="233" t="str">
        <f>IF(40=40,IF($B40="","",CF40),"")</f>
        <v/>
      </c>
      <c r="R40" s="233" t="str">
        <f>IF(40=40,IF($B40="","",IF(TRIM($AA40)="fruits a coque","",IF(CL40="X","X",IF(OR(CL40="?",OR(ISNUMBER(SEARCH(" clamato ",$AA40)),ISNUMBER(SEARCH(" bloody caesar ",$AA40)))),"?","")))),"")</f>
        <v/>
      </c>
      <c r="S40" s="234" t="str">
        <f>IF(40=40,IF($B40="","",IF(E40="?",""&amp;"Céréales contenant du gluten","")&amp;IF(F40="?",IF(COUNTIF($E40:$E40,"~?")&gt;0,", ","")&amp;"Crustacés","")&amp;IF(G40="?",IF(COUNTIF($E40:$F40,"~?")&gt;0,", ","")&amp;"Œufs","")&amp;IF(H40="?",IF(COUNTIF($E40:$G40,"~?")&gt;0,", ","")&amp;"Poissons","")&amp;IF(I40="?",IF(COUNTIF($E40:$H40,"~?")&gt;0,", ","")&amp;"Arachides","")&amp;IF(J40="?",IF(COUNTIF($E40:$I40,"~?")&gt;0,", ","")&amp;"Soja","")&amp;IF(K40="?",IF(COUNTIF($E40:$J40,"~?")&gt;0,", ","")&amp;"Lait","")&amp;IF(L40="?",IF(COUNTIF($E40:$K40,"~?")&gt;0,", ","")&amp;"Fruits à coque","")&amp;IF(M40="?",IF(COUNTIF($E40:$L40,"~?")&gt;0,", ","")&amp;"Céleri","")&amp;IF(N40="?",IF(COUNTIF($E40:$M40,"~?")&gt;0,", ","")&amp;"Moutarde","")&amp;IF(O40="?",IF(COUNTIF($E40:$N40,"~?")&gt;0,", ","")&amp;"Sésame","")&amp;IF(P40="?",IF(COUNTIF($E40:$O40,"~?")&gt;0,", ","")&amp;"Sulfites","")&amp;IF(Q40="?",IF(COUNTIF($E40:$P40,"~?")&gt;0,", ","")&amp;"Lupin","")&amp;IF(R40="?",IF(COUNTIF($E40:$Q40,"~?")&gt;0,", ","")&amp;"Mollusques","")),"")</f>
        <v>Lait</v>
      </c>
      <c r="U40" s="209" t="str">
        <f>IF(40=40,IF($B40="","",$B40),"")</f>
        <v>Liqueur de caramel</v>
      </c>
      <c r="V40" s="209" t="str">
        <f>IF(40=40,LOWER(CLEAN(SUBSTITUTE(SUBSTITUTE(SUBSTITUTE(SUBSTITUTE($U40,CHAR(160)," ")," "," "),CHAR(10)," "),CHAR(13)," "))),"")</f>
        <v>liqueur de caramel</v>
      </c>
      <c r="W40" s="209" t="str">
        <f>IF(40=40,SUBSTITUTE(SUBSTITUTE(SUBSTITUTE(SUBSTITUTE(SUBSTITUTE(SUBSTITUTE(SUBSTITUTE(SUBSTITUTE(SUBSTITUTE(SUBSTITUTE(SUBSTITUTE(SUBSTITUTE($V40,"œ","oe"),"æ","ae"),"à","a"),"á","a"),"â","a"),"ä","a"),"ã","a"),"ç","c"),"è","e"),"é","e"),"ê","e"),"ë","e"),"")</f>
        <v>liqueur de caramel</v>
      </c>
      <c r="X40" s="209" t="str">
        <f>IF(40=40,SUBSTITUTE(SUBSTITUTE(SUBSTITUTE(SUBSTITUTE(SUBSTITUTE(SUBSTITUTE(SUBSTITUTE(SUBSTITUTE(SUBSTITUTE(SUBSTITUTE(SUBSTITUTE(SUBSTITUTE(SUBSTITUTE(SUBSTITUTE(SUBSTITUTE(SUBSTITUTE($W40,"ì","i"),"í","i"),"î","i"),"ï","i"),"ñ","n"),"ò","o"),"ó","o"),"ô","o"),"ö","o"),"õ","o"),"ù","u"),"ú","u"),"û","u"),"ü","u"),"ý","y"),"ÿ","y"),"")</f>
        <v>liqueur de caramel</v>
      </c>
      <c r="Y40" s="209" t="str">
        <f>IF(40=40,SUBSTITUTE(SUBSTITUTE(SUBSTITUTE(SUBSTITUTE(SUBSTITUTE(SUBSTITUTE(SUBSTITUTE(SUBSTITUTE(SUBSTITUTE(SUBSTITUTE(SUBSTITUTE(SUBSTITUTE(SUBSTITUTE(SUBSTITUTE($X40,"’"," "),"`"," "),"–"," "),"—"," "),"-"," "),"'"," "),"/"," "),"_"," "),","," "),"."," "),"("," "),")"," "),";"," "),":"," "),"")</f>
        <v>liqueur de caramel</v>
      </c>
      <c r="Z40" s="209" t="str">
        <f>IF(40=40,SUBSTITUTE(SUBSTITUTE(SUBSTITUTE(SUBSTITUTE(SUBSTITUTE(SUBSTITUTE(SUBSTITUTE(SUBSTITUTE(SUBSTITUTE(SUBSTITUTE(SUBSTITUTE(SUBSTITUTE(SUBSTITUTE(SUBSTITUTE(SUBSTITUTE($Y40,"!"," "),"?"," "),"+"," "),"*"," "),"&amp;"," "),"["," "),"]"," "),"{"," "),"}"," "),"%"," "),"="," "),"\"," "),"|"," "),"&lt;"," "),"&gt;"," "),"")</f>
        <v>liqueur de caramel</v>
      </c>
      <c r="AA40" s="209" t="str">
        <f>IF(40=40," "&amp;TRIM(SUBSTITUTE(SUBSTITUTE(SUBSTITUTE(SUBSTITUTE(SUBSTITUTE(SUBSTITUTE($Z40,CHAR(34)," "),"  "," "),"  "," "),"  "," "),"  "," "),"  "," "))&amp;" ","")</f>
        <v xml:space="preserve"> liqueur de caramel </v>
      </c>
      <c r="AB40" s="209">
        <f>IF(40=40,IF($U40="","",SUMPRODUCT(--ISNUMBER(SEARCH(" "&amp;$CR$2:$CR$101&amp;" ",$AD40)))),"")</f>
        <v>0</v>
      </c>
      <c r="AC40" s="209">
        <f>IF(40=40,IF($U40="","",SUMPRODUCT(--ISNUMBER(SEARCH(" "&amp;$CR$102:$CR$151&amp;" ",$AD40)))),"")</f>
        <v>0</v>
      </c>
      <c r="AD40" s="209" t="str">
        <f t="shared" si="1"/>
        <v xml:space="preserve"> liqueur de caramel </v>
      </c>
      <c r="AE40" s="209">
        <f t="shared" si="2"/>
        <v>0</v>
      </c>
      <c r="AF40" s="209" t="str">
        <f>IF(40=40,IF($U40="","",IF(SUM(AB40:AC40)+SUMPRODUCT(--ISNUMBER(SEARCH(" "&amp;$CR$2418:$CR$2420&amp;" ",$AD40)))&gt;0,"X",IF(AE40&gt;0,"?",""))),"")</f>
        <v/>
      </c>
      <c r="AG40" s="209">
        <f>IF(40=40,IF($U40="","",SUMPRODUCT(--ISNUMBER(SEARCH(" "&amp;$CR$206:$CR$305&amp;" ",$AA40)))),"")</f>
        <v>0</v>
      </c>
      <c r="AH40" s="209">
        <f>IF(40=40,IF($U40="","",SUMPRODUCT(--ISNUMBER(SEARCH(" "&amp;$CR$306:$CR$340&amp;" ",$AA40)))),"")</f>
        <v>0</v>
      </c>
      <c r="AI40" s="209" t="str">
        <f>IF(40=40,IF($U40="","",IF((SUM(AG40:AH40))-(0)&gt;0,"X",IF((0)-(0)&gt;0,"?",""))),"")</f>
        <v/>
      </c>
      <c r="AJ40" s="209">
        <f>IF(40=40,IF($U40="","",SUMPRODUCT(--ISNUMBER(SEARCH(" "&amp;$CR$341:$CR$398&amp;" ",$AA40)))),"")</f>
        <v>0</v>
      </c>
      <c r="AK40" s="209">
        <f>IF(40=40,IF($U40="","",SUMPRODUCT(--ISNUMBER(SEARCH(" "&amp;$CR$399:$CR$426&amp;" ",$AL40)))+SUMPRODUCT(--ISNUMBER(SEARCH(" "&amp;$CR$2440:$CR$2453&amp;" ",$AL40)))),"")</f>
        <v>0</v>
      </c>
      <c r="AL40" s="209" t="str">
        <f>IF(40=40,IF($U40="","",SUBSTITUTE(SUBSTITUTE(SUBSTITUTE(SUBSTITUTE(SUBSTITUTE(SUBSTITUTE(SUBSTITUTE(SUBSTITUTE(SUBSTITUTE(SUBSTITUTE(SUBSTITUTE(SUBSTITUTE(SUBSTITUTE(SUBSTITUTE($AA40,"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liqueur de caramel </v>
      </c>
      <c r="AM40" s="209" t="str">
        <f>IF(40=40,IF($U40="","",IF(AJ40&gt;0,"X",IF(AK40&gt;0,"?",""))),"")</f>
        <v/>
      </c>
      <c r="AN40" s="209">
        <f>IF(40=40,IF($U40="","",SUMPRODUCT(--ISNUMBER(SEARCH(" "&amp;$CR$436:$CR$535&amp;" ",$AX40)))),"")</f>
        <v>0</v>
      </c>
      <c r="AO40" s="209">
        <f>IF(40=40,IF($U40="","",SUMPRODUCT(--ISNUMBER(SEARCH(" "&amp;$CR$536:$CR$635&amp;" ",$AX40)))),"")</f>
        <v>0</v>
      </c>
      <c r="AP40" s="209">
        <f>IF(40=40,IF($U40="","",SUMPRODUCT(--ISNUMBER(SEARCH(" "&amp;$CR$636:$CR$735&amp;" ",$AX40)))),"")</f>
        <v>0</v>
      </c>
      <c r="AQ40" s="209">
        <f>IF(40=40,IF($U40="","",SUMPRODUCT(--ISNUMBER(SEARCH(" "&amp;$CR$736:$CR$835&amp;" ",$AX40)))),"")</f>
        <v>0</v>
      </c>
      <c r="AR40" s="209">
        <f>IF(40=40,IF($U40="","",SUMPRODUCT(--ISNUMBER(SEARCH(" "&amp;$CR$836:$CR$935&amp;" ",$AX40)))),"")</f>
        <v>0</v>
      </c>
      <c r="AS40" s="209">
        <f>IF(40=40,IF($U40="","",SUMPRODUCT(--ISNUMBER(SEARCH(" "&amp;$CR$936:$CR$1035&amp;" ",$AX40)))),"")</f>
        <v>0</v>
      </c>
      <c r="AT40" s="209">
        <f>IF(40=40,IF($U40="","",SUMPRODUCT(--ISNUMBER(SEARCH(" "&amp;$CR$1036:$CR$1135&amp;" ",$AX40)))),"")</f>
        <v>0</v>
      </c>
      <c r="AU40" s="209">
        <f>IF(40=40,IF($U40="","",SUMPRODUCT(--ISNUMBER(SEARCH(" "&amp;$CR$1136:$CR$1235&amp;" ",$AX40)))),"")</f>
        <v>0</v>
      </c>
      <c r="AV40" s="209">
        <f>IF(40=40,IF($U40="","",SUMPRODUCT(--ISNUMBER(SEARCH(" "&amp;$CR$1236:$CR$1335&amp;" ",$AX40)))),"")</f>
        <v>0</v>
      </c>
      <c r="AW40" s="209">
        <f>IF(40=40,IF($U40="","",SUMPRODUCT(--ISNUMBER(SEARCH(" "&amp;$CR$1336:$CR$1363&amp;" ",$AX40)))),"")</f>
        <v>0</v>
      </c>
      <c r="AX40" s="209" t="str">
        <f>IF(40=40,IF($U40="","",SUBSTITUTE(SUBSTITUTE(SUBSTITUTE(SUBSTITUTE(SUBSTITUTE(SUBSTITUTE(SUBSTITUTE(SUBSTITUTE(SUBSTITUTE($AA40,"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liqueur de caramel </v>
      </c>
      <c r="AY40" s="209">
        <f>IF(40=40,IF($U40="","",SUMPRODUCT(--ISNUMBER(SEARCH(" "&amp;$CR$1373:$CR$1383&amp;" ",$AX40)))),"")</f>
        <v>0</v>
      </c>
      <c r="AZ40" s="209" t="str">
        <f>IF(40=40,IF($U40="","",IF(SUM(AN40:AW40)+SUMPRODUCT(--ISNUMBER(SEARCH(" "&amp;$CR$2421:$CR$2422&amp;" ",$AX40)))&gt;0,"X",IF(AY40&gt;0,"?",""))),"")</f>
        <v/>
      </c>
      <c r="BA40" s="209">
        <f>IF(40=40,IF($U40="","",SUMPRODUCT(--ISNUMBER(SEARCH(" "&amp;$CR$1384:$CR$1404&amp;" ",$AA40)))),"")</f>
        <v>0</v>
      </c>
      <c r="BB40" s="209" t="str">
        <f>IF(40=40,IF($U40="","",IF((BA40)-(0)&gt;0,"X",IF((0)-(0)&gt;0,"?",""))),"")</f>
        <v/>
      </c>
      <c r="BC40" s="209">
        <f>IF(40=40,IF($U40="","",SUMPRODUCT(--ISNUMBER(SEARCH(" "&amp;$CR$1405:$CR$1442&amp;" ",$BD40)))),"")</f>
        <v>0</v>
      </c>
      <c r="BD40" s="209" t="str">
        <f>IF(40=40,IF($U40="","",SUBSTITUTE(SUBSTITUTE($AA40," "&amp;$CR$1443&amp;" "," ")," "&amp;$CR$1444&amp;" "," ")),"")</f>
        <v xml:space="preserve"> liqueur de caramel </v>
      </c>
      <c r="BE40" s="209">
        <f>IF(40=40,IF($U40="","",SUMPRODUCT(--ISNUMBER(SEARCH(" "&amp;$CR$1445:$CR$1455&amp;" ",$BD40)))),"")</f>
        <v>0</v>
      </c>
      <c r="BF40" s="209" t="str">
        <f>IF(40=40,IF($U40="","",IF(BC40&gt;0,"X",IF(BE40&gt;0,"?",""))),"")</f>
        <v/>
      </c>
      <c r="BG40" s="209">
        <f>IF(40=40,IF($U40="","",SUMPRODUCT(--ISNUMBER(SEARCH(" "&amp;$CR$1456:$CR$1555&amp;" ",$BJ40)))),"")</f>
        <v>0</v>
      </c>
      <c r="BH40" s="209">
        <f>IF(40=40,IF($U40="","",SUMPRODUCT(--ISNUMBER(SEARCH(" "&amp;$CR$1556:$CR$1655&amp;" ",$BJ40)))),"")</f>
        <v>0</v>
      </c>
      <c r="BI40" s="209">
        <f>IF(40=40,IF($U40="","",SUMPRODUCT(--ISNUMBER(SEARCH(" "&amp;$CR$1656:$CR$1739&amp;" ",$BJ40)))),"")</f>
        <v>0</v>
      </c>
      <c r="BJ40" s="209" t="str">
        <f>IF(40=40,IF($U40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40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liqueur de caramel </v>
      </c>
      <c r="BK40" s="209">
        <f>IF(40=40,IF($U40="","",SUMPRODUCT(--ISNUMBER(SEARCH(" "&amp;$CR$1790:$CR$1869&amp;" ",$BL40)))+SUMPRODUCT(--ISNUMBER(SEARCH(" "&amp;$CR$2440:$CR$2453&amp;" ",$BL40)))),"")</f>
        <v>0</v>
      </c>
      <c r="BL40" s="209" t="str">
        <f>IF(40=40,IF($U40="","",SUBSTITUTE(SUBSTITUTE(SUBSTITUTE(SUBSTITUTE(SUBSTITUTE(SUBSTITUTE(SUBSTITUTE(SUBSTITUTE(SUBSTITUTE(SUBSTITUTE(SUBSTITUTE(SUBSTITUTE(SUBSTITUTE($BJ40,"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liqueur de caramel </v>
      </c>
      <c r="BM40" s="209" t="str">
        <f>IF(40=40,IF($U40="","",IF(SUM(BG40:BI40)+SUMPRODUCT(--ISNUMBER(SEARCH(" "&amp;$CR$2423:$CR$2424&amp;" ",$BJ40)))&gt;0,"X",IF(BK40&gt;0,"?",""))),"")</f>
        <v/>
      </c>
      <c r="BN40" s="209">
        <f>IF(40=40,IF($U40="","",SUMPRODUCT(--ISNUMBER(SEARCH(" "&amp;$CR$1879:$CR$1936&amp;" ",$BO40)))),"")</f>
        <v>0</v>
      </c>
      <c r="BO40" s="209" t="str">
        <f>IF(40=40,IF($U40="","",SUBSTITUTE(SUBSTITUTE(SUBSTITUTE(SUBSTITUTE(SUBSTITUTE(SUBSTITUTE(SUBSTITUTE(SUBSTITUTE(SUBSTITUTE(SUBSTITUTE(SUBSTITUTE(SUBSTITUTE(SUBSTITUTE(SUBSTITUTE(SUBSTITUTE(SUBSTITUTE(SUBSTITUTE(SUBSTITUTE(SUBSTITUTE(SUBSTITUTE(SUBSTITUTE(SUBSTITUTE(SUBSTITUTE($AA40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liqueur de caramel </v>
      </c>
      <c r="BP40" s="209">
        <f>IF(40=40,IF($U40="","",SUMPRODUCT(--ISNUMBER(SEARCH(" "&amp;$CR$1960:$CR$1976&amp;" ",$BO40)))),"")</f>
        <v>0</v>
      </c>
      <c r="BQ40" s="209" t="str">
        <f>IF(40=40,IF($U40="","",IF(BN40&gt;0,"X",IF(BP40&gt;0,"?",""))),"")</f>
        <v/>
      </c>
      <c r="BR40" s="209">
        <f>IF(40=40,IF($U40="","",SUMPRODUCT(--ISNUMBER(SEARCH(" "&amp;$CR$1977:$CR$1990&amp;" ",$AA40)))),"")</f>
        <v>0</v>
      </c>
      <c r="BS40" s="209">
        <f>IF(40=40,IF($U40="","",SUMPRODUCT(--ISNUMBER(SEARCH(" "&amp;$CR$1991:$CR$2005&amp;" ",$AA40)))),"")</f>
        <v>0</v>
      </c>
      <c r="BT40" s="209" t="str">
        <f>IF(40=40,IF($U40="","",IF((BR40)-(0)&gt;0,"X",IF((BS40)-(0)&gt;0,"?",""))),"")</f>
        <v/>
      </c>
      <c r="BU40" s="209">
        <f>IF(40=40,IF($U40="","",SUMPRODUCT(--ISNUMBER(SEARCH(" "&amp;$CR$2006:$CR$2023&amp;" ",$AA40)))),"")</f>
        <v>0</v>
      </c>
      <c r="BV40" s="209">
        <f>IF(40=40,IF($U40="","",SUMPRODUCT(--ISNUMBER(SEARCH(" "&amp;$CR$2024:$CR$2038&amp;" ",$AA40)))),"")</f>
        <v>0</v>
      </c>
      <c r="BW40" s="209" t="str">
        <f>IF(40=40,IF($U40="","",IF((BU40)-(0)&gt;0,"X",IF((BV40)-(0)&gt;0,"?",""))),"")</f>
        <v/>
      </c>
      <c r="BX40" s="209">
        <f>IF(40=40,IF($U40="","",SUMPRODUCT(--ISNUMBER(SEARCH(" "&amp;$CR$2039:$CR$2057&amp;" ",$AA40)))),"")</f>
        <v>0</v>
      </c>
      <c r="BY40" s="209">
        <f>IF(40=40,IF($U40="","",SUMPRODUCT(--ISNUMBER(SEARCH(" "&amp;$CR$2058:$CR$2072&amp;" ",$AA40)))),"")</f>
        <v>0</v>
      </c>
      <c r="BZ40" s="209" t="str">
        <f>IF(40=40,IF($U40="","",IF((BX40)-(0)&gt;0,"X",IF((BY40)-(0)&gt;0,"?",""))),"")</f>
        <v/>
      </c>
      <c r="CA40" s="209">
        <f>IF(40=40,IF($U40="","",SUMPRODUCT(--ISNUMBER(SEARCH(" "&amp;$CR$2073:$CR$2093&amp;" ",$AA40)))),"")</f>
        <v>0</v>
      </c>
      <c r="CB40" s="209">
        <f>IF(40=40,IF($U40="","",SUMPRODUCT(--ISNUMBER(SEARCH(" "&amp;$CR$2094:$CR$2133&amp;" ",SUBSTITUTE(SUBSTITUTE($AA40," "&amp;$CR$1367&amp;" "," ")," "&amp;$CR$1366&amp;" "," "))))+--ISNUMBER(SEARCH("poiré",$V40))),"")</f>
        <v>0</v>
      </c>
      <c r="CC40" s="209" t="str">
        <f>IF(40=40,IF($U40="","",IF(OR(CA40&gt;0,ISNUMBER(SEARCH(" vinaigre de vin ",$AA40)),ISNUMBER(SEARCH(" vinaigre au vin ",$AA40))),"X",IF(CB40&gt;0,"?",""))),"")</f>
        <v/>
      </c>
      <c r="CD40" s="209">
        <f>IF(40=40,IF($U40="","",SUMPRODUCT(--ISNUMBER(SEARCH(" "&amp;$CR$2134:$CR$2146&amp;" ",$AA40)))),"")</f>
        <v>0</v>
      </c>
      <c r="CE40" s="209">
        <f>IF(40=40,IF($U40="","",SUMPRODUCT(--ISNUMBER(SEARCH(" "&amp;$CR$2147:$CR$2152&amp;" ",$AA40)))),"")</f>
        <v>0</v>
      </c>
      <c r="CF40" s="209" t="str">
        <f>IF(40=40,IF($U40="","",IF((CD40)-(0)&gt;0,"X",IF((CE40)-(0)&gt;0,"?",""))),"")</f>
        <v/>
      </c>
      <c r="CG40" s="209">
        <f>IF(40=40,IF($U40="","",SUMPRODUCT(--ISNUMBER(SEARCH(" "&amp;$CR$2153:$CR$2252&amp;" ",$CJ40)))),"")</f>
        <v>0</v>
      </c>
      <c r="CH40" s="209">
        <f>IF(40=40,IF($U40="","",SUMPRODUCT(--ISNUMBER(SEARCH(" "&amp;$CR$2253:$CR$2352&amp;" ",$CJ40)))),"")</f>
        <v>0</v>
      </c>
      <c r="CI40" s="209">
        <f>IF(40=40,IF($U40="","",SUMPRODUCT(--ISNUMBER(SEARCH(" "&amp;$CR$2353:$CR$2395&amp;" ",$CJ40)))),"")</f>
        <v>0</v>
      </c>
      <c r="CJ40" s="209" t="str">
        <f>IF(40=40,IF($U40="","",SUBSTITUTE(SUBSTITUTE(SUBSTITUTE(SUBSTITUTE(SUBSTITUTE(SUBSTITUTE(SUBSTITUTE(SUBSTITUTE(SUBSTITUTE(SUBSTITUTE(SUBSTITUTE(SUBSTITUTE(SUBSTITUTE(SUBSTITUTE(SUBSTITUTE(SUBSTITUTE($AA40,"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liqueur de caramel </v>
      </c>
      <c r="CK40" s="209">
        <f>IF(40=40,IF($U40="","",SUMPRODUCT(--ISNUMBER(SEARCH(" "&amp;$CR$2412:$CR$2416&amp;" ",$CJ40)))),"")</f>
        <v>0</v>
      </c>
      <c r="CL40" s="209" t="str">
        <f>IF(40=40,IF($U40="","",IF(SUM(CG40:CI40)&gt;0,"X",IF(CK40&gt;0,"?",""))),"")</f>
        <v/>
      </c>
      <c r="CM40" s="210"/>
      <c r="CN40" s="213" t="s">
        <v>1053</v>
      </c>
      <c r="CO40" s="213" t="s">
        <v>878</v>
      </c>
      <c r="CP40" s="213" t="s">
        <v>879</v>
      </c>
      <c r="CQ40" s="213" t="s">
        <v>1054</v>
      </c>
      <c r="CR40" s="213" t="s">
        <v>1055</v>
      </c>
      <c r="CS40" s="213" t="s">
        <v>881</v>
      </c>
      <c r="CT40" s="213" t="s">
        <v>882</v>
      </c>
      <c r="CU40" s="213" t="s">
        <v>883</v>
      </c>
      <c r="CV40" s="214" t="s">
        <v>884</v>
      </c>
      <c r="CX40" s="212">
        <v>1</v>
      </c>
    </row>
    <row r="41" spans="1:102" ht="21" customHeight="1">
      <c r="A41" s="229">
        <v>35</v>
      </c>
      <c r="B41" s="230" t="s">
        <v>6593</v>
      </c>
      <c r="C41" s="231" t="str">
        <f t="shared" si="0"/>
        <v>Liqueur / crème de coco ?</v>
      </c>
      <c r="D41" s="232" t="str">
        <f>IF(41=41,IF($B41="","",IF(E41="X",""&amp;"Céréales contenant du gluten","")&amp;IF(F41="X",IF(COUNTIF($E41:$E41,"X")&gt;0,", ","")&amp;"Crustacés","")&amp;IF(G41="X",IF(COUNTIF($E41:$F41,"X")&gt;0,", ","")&amp;"Œufs","")&amp;IF(H41="X",IF(COUNTIF($E41:$G41,"X")&gt;0,", ","")&amp;"Poissons","")&amp;IF(I41="X",IF(COUNTIF($E41:$H41,"X")&gt;0,", ","")&amp;"Arachides","")&amp;IF(J41="X",IF(COUNTIF($E41:$I41,"X")&gt;0,", ","")&amp;"Soja","")&amp;IF(K41="X",IF(COUNTIF($E41:$J41,"X")&gt;0,", ","")&amp;"Lait","")&amp;IF(L41="X",IF(COUNTIF($E41:$K41,"X")&gt;0,", ","")&amp;"Fruits à coque","")&amp;IF(M41="X",IF(COUNTIF($E41:$L41,"X")&gt;0,", ","")&amp;"Céleri","")&amp;IF(N41="X",IF(COUNTIF($E41:$M41,"X")&gt;0,", ","")&amp;"Moutarde","")&amp;IF(O41="X",IF(COUNTIF($E41:$N41,"X")&gt;0,", ","")&amp;"Sésame","")&amp;IF(P41="X",IF(COUNTIF($E41:$O41,"X")&gt;0,", ","")&amp;"Sulfites","")&amp;IF(Q41="X",IF(COUNTIF($E41:$P41,"X")&gt;0,", ","")&amp;"Lupin","")&amp;IF(R41="X",IF(COUNTIF($E41:$Q41,"X")&gt;0,", ","")&amp;"Mollusques","")),"")</f>
        <v/>
      </c>
      <c r="E41" s="233" t="str">
        <f>IF(41=41,IF($B41="","",IF(OR(ISNUMBER(SEARCH(" biere sans gluten ",$AA41)),ISNUMBER(SEARCH(" gluten free beer ",$AA41)),ISNUMBER(SEARCH(" beer gluten free ",$AA41))),"",IF(AF41="X","X",IF(OR(AF41="?",OR(ISNUMBER(SEARCH(" worcestershire ",$AA41)),ISNUMBER(SEARCH(" bloody mary ",$AA41)))),"?","")))),"")</f>
        <v/>
      </c>
      <c r="F41" s="233" t="str">
        <f>IF(41=41,IF($B41="","",AI41),"")</f>
        <v/>
      </c>
      <c r="G41" s="233" t="str">
        <f>IF(41=41,IF($B41="","",IF(OR(TRIM($AA41)="puree pate d amande",TRIM($AA41)="pate puree d amande",TRIM($AA41)="puree d amande",TRIM($AA41)="pate d amande",TRIM($AA41)="pate puree de noisette",TRIM($AA41)="puree pate de noisette",TRIM($AA41)="puree de noisette",TRIM($AA41)="pate de noisette"),"",IF(OR(AM41="X",OR(ISNUMBER(SEARCH(" macaron ",$AA41)),ISNUMBER(SEARCH(" egg nog ",$AA41)),ISNUMBER(SEARCH(" eggnog ",$AA41)))),"X",IF(OR(AM41="?",OR(ISNUMBER(SEARCH(" biscuit decoratif ",$AA41)),ISNUMBER(SEARCH(" whisky sour ",$AA41)),ISNUMBER(SEARCH(" whiskey sour ",$AA41)),ISNUMBER(SEARCH(" amaretto sour ",$AA41)),ISNUMBER(SEARCH(" pisco sour ",$AA41)),ISNUMBER(SEARCH(" clover club ",$AA41)),ISNUMBER(SEARCH(" ramos gin fizz ",$AA41)))),"?","")))),"")</f>
        <v/>
      </c>
      <c r="H41" s="233" t="str">
        <f>IF(41=41,IF($B41="","",IF(ISNUMBER(SEARCH(" colin ",$AA41)),"X",IF(AZ41="X","X",IF(OR(AZ41="?",OR(ISNUMBER(SEARCH(" worcestershire ",$AA41)),ISNUMBER(SEARCH(" bloody mary ",$AA41)))),"?","")))),"")</f>
        <v/>
      </c>
      <c r="I41" s="233" t="str">
        <f>IF(41=41,IF($B41="","",BB41),"")</f>
        <v/>
      </c>
      <c r="J41" s="233" t="str">
        <f>IF(41=41,IF($B41="","",BF41),"")</f>
        <v/>
      </c>
      <c r="K41" s="233" t="str">
        <f>IF(41=41,IF($B41="","",IF(OR(OR(TRIM($AA41)="puree pate d amande",TRIM($AA41)="pate puree d amande",TRIM($AA41)="puree d amande",TRIM($AA41)="pate d amande",TRIM($AA41)="pate puree de noisette",TRIM($AA41)="puree pate de noisette",TRIM($AA41)="puree de noisette",TRIM($AA41)="pate de noisette"),OR(TRIM($AA41)="beurre puree d arachide",TRIM($AA41)="beurre d arachide",TRIM($AA41)="puree d arachide"),OR(TRIM($AA41)="tahini puree de sesame",TRIM($AA41)="tahini",TRIM($AA41)="puree de sesame")),"",IF(OR(TRIM($AA41)="creme de cassis",TRIM($AA41)="creme de menthe",TRIM($AA41)="creme de cacao",TRIM($AA41)="creme de mure",TRIM($AA41)="creme de framboise",TRIM($AA41)="creme de peche",TRIM($AA41)="creme de banane",TRIM($AA41)="liqueur creme de coco",TRIM($AA41)="creme de coco",TRIM($AA41)="spiritueux aromatise arrange creme de spiritueux"),"?",IF(OR(BM41="X",OR(ISNUMBER(SEARCH(" baileys ",$AA41)),ISNUMBER(SEARCH(" irish cream ",$AA41)),ISNUMBER(SEARCH(" creme de whisky ",$AA41)))),"X",IF(OR(BM41="?",OR(OR(TRIM($AA41)="creme de cassis",TRIM($AA41)="creme de menthe",TRIM($AA41)="creme de cacao",TRIM($AA41)="creme de mure",TRIM($AA41)="creme de framboise",TRIM($AA41)="creme de peche",TRIM($AA41)="creme de banane",TRIM($AA41)="liqueur creme de coco",TRIM($AA41)="creme de coco",TRIM($AA41)="spiritueux aromatise arrange creme de spiritueux"),ISNUMBER(SEARCH(" advocaat ",$AA41)),ISNUMBER(SEARCH(" liqueur aux oeufs ",$AA41)),ISNUMBER(SEARCH(" liqueur de chocolat ",$AA41)),ISNUMBER(SEARCH(" liqueur de caramel ",$AA41)),ISNUMBER(SEARCH(" sauce nappage chocolat ",$AA41)),ISNUMBER(SEARCH(" biscuit decoratif ",$AA41)),ISNUMBER(SEARCH(" white russian ",$AA41)),ISNUMBER(SEARCH(" grasshopper ",$AA41)),ISNUMBER(SEARCH(" irish coffee ",$AA41)),ISNUMBER(SEARCH(" ramos gin fizz ",$AA41)),ISNUMBER(SEARCH(" egg nog ",$AA41)),ISNUMBER(SEARCH(" eggnog ",$AA41)))),"?",""))))),"")</f>
        <v>?</v>
      </c>
      <c r="L41" s="233" t="str">
        <f>IF(41=41,IF($B41="","",IF(OR(BQ41="X",OR(OR(TRIM($AA41)="puree pate d amande",TRIM($AA41)="pate puree d amande",TRIM($AA41)="puree d amande",TRIM($AA41)="pate d amande",TRIM($AA41)="pate puree de noisette",TRIM($AA41)="puree pate de noisette",TRIM($AA41)="puree de noisette",TRIM($AA41)="pate de noisette"),ISNUMBER(SEARCH(" macaron ",$AA41)),TRIM($AA41)="fruits a coque")),"X",IF(OR(BQ41="?",OR(ISNUMBER(SEARCH(" sirop d orgeat ",$AA41)),ISNUMBER(SEARCH(" orgeat ",$AA41)),ISNUMBER(SEARCH(" amaretto ",$AA41)))),"?",""))),"")</f>
        <v/>
      </c>
      <c r="M41" s="233" t="str">
        <f>IF(41=41,IF($B41="","",IF(OR(OR(TRIM($AA41)="puree pate d amande",TRIM($AA41)="pate puree d amande",TRIM($AA41)="puree d amande",TRIM($AA41)="pate d amande",TRIM($AA41)="pate puree de noisette",TRIM($AA41)="puree pate de noisette",TRIM($AA41)="puree de noisette",TRIM($AA41)="pate de noisette"),OR(TRIM($AA41)="tahini puree de sesame",TRIM($AA41)="tahini",TRIM($AA41)="puree de sesame")),"",IF(BT41="X","X",IF(OR(BT41="?",ISNUMBER(SEARCH(" bloody mary ",$AA41))),"?","")))),"")</f>
        <v/>
      </c>
      <c r="N41" s="233" t="str">
        <f>IF(41=41,IF($B41="","",IF(OR(OR(TRIM($AA41)="puree pate d amande",TRIM($AA41)="pate puree d amande",TRIM($AA41)="puree d amande",TRIM($AA41)="pate d amande",TRIM($AA41)="pate puree de noisette",TRIM($AA41)="puree pate de noisette",TRIM($AA41)="puree de noisette",TRIM($AA41)="pate de noisette"),OR(TRIM($AA41)="tahini puree de sesame",TRIM($AA41)="tahini",TRIM($AA41)="puree de sesame")),"",IF(BW41="X","X",IF(OR(BW41="?",ISNUMBER(SEARCH(" bloody mary ",$AA41))),"?","")))),"")</f>
        <v/>
      </c>
      <c r="O41" s="233" t="str">
        <f>IF(41=41,IF($B41="","",BZ41),"")</f>
        <v/>
      </c>
      <c r="P41" s="233" t="str">
        <f>IF(41=41,IF($B41="","",CC41),"")</f>
        <v/>
      </c>
      <c r="Q41" s="233" t="str">
        <f>IF(41=41,IF($B41="","",CF41),"")</f>
        <v/>
      </c>
      <c r="R41" s="233" t="str">
        <f>IF(41=41,IF($B41="","",IF(TRIM($AA41)="fruits a coque","",IF(CL41="X","X",IF(OR(CL41="?",OR(ISNUMBER(SEARCH(" clamato ",$AA41)),ISNUMBER(SEARCH(" bloody caesar ",$AA41)))),"?","")))),"")</f>
        <v/>
      </c>
      <c r="S41" s="234" t="str">
        <f>IF(41=41,IF($B41="","",IF(E41="?",""&amp;"Céréales contenant du gluten","")&amp;IF(F41="?",IF(COUNTIF($E41:$E41,"~?")&gt;0,", ","")&amp;"Crustacés","")&amp;IF(G41="?",IF(COUNTIF($E41:$F41,"~?")&gt;0,", ","")&amp;"Œufs","")&amp;IF(H41="?",IF(COUNTIF($E41:$G41,"~?")&gt;0,", ","")&amp;"Poissons","")&amp;IF(I41="?",IF(COUNTIF($E41:$H41,"~?")&gt;0,", ","")&amp;"Arachides","")&amp;IF(J41="?",IF(COUNTIF($E41:$I41,"~?")&gt;0,", ","")&amp;"Soja","")&amp;IF(K41="?",IF(COUNTIF($E41:$J41,"~?")&gt;0,", ","")&amp;"Lait","")&amp;IF(L41="?",IF(COUNTIF($E41:$K41,"~?")&gt;0,", ","")&amp;"Fruits à coque","")&amp;IF(M41="?",IF(COUNTIF($E41:$L41,"~?")&gt;0,", ","")&amp;"Céleri","")&amp;IF(N41="?",IF(COUNTIF($E41:$M41,"~?")&gt;0,", ","")&amp;"Moutarde","")&amp;IF(O41="?",IF(COUNTIF($E41:$N41,"~?")&gt;0,", ","")&amp;"Sésame","")&amp;IF(P41="?",IF(COUNTIF($E41:$O41,"~?")&gt;0,", ","")&amp;"Sulfites","")&amp;IF(Q41="?",IF(COUNTIF($E41:$P41,"~?")&gt;0,", ","")&amp;"Lupin","")&amp;IF(R41="?",IF(COUNTIF($E41:$Q41,"~?")&gt;0,", ","")&amp;"Mollusques","")),"")</f>
        <v>Lait</v>
      </c>
      <c r="U41" s="209" t="str">
        <f>IF(41=41,IF($B41="","",$B41),"")</f>
        <v>Liqueur / crème de coco</v>
      </c>
      <c r="V41" s="209" t="str">
        <f>IF(41=41,LOWER(CLEAN(SUBSTITUTE(SUBSTITUTE(SUBSTITUTE(SUBSTITUTE($U41,CHAR(160)," ")," "," "),CHAR(10)," "),CHAR(13)," "))),"")</f>
        <v>liqueur / crème de coco</v>
      </c>
      <c r="W41" s="209" t="str">
        <f>IF(41=41,SUBSTITUTE(SUBSTITUTE(SUBSTITUTE(SUBSTITUTE(SUBSTITUTE(SUBSTITUTE(SUBSTITUTE(SUBSTITUTE(SUBSTITUTE(SUBSTITUTE(SUBSTITUTE(SUBSTITUTE($V41,"œ","oe"),"æ","ae"),"à","a"),"á","a"),"â","a"),"ä","a"),"ã","a"),"ç","c"),"è","e"),"é","e"),"ê","e"),"ë","e"),"")</f>
        <v>liqueur / creme de coco</v>
      </c>
      <c r="X41" s="209" t="str">
        <f>IF(41=41,SUBSTITUTE(SUBSTITUTE(SUBSTITUTE(SUBSTITUTE(SUBSTITUTE(SUBSTITUTE(SUBSTITUTE(SUBSTITUTE(SUBSTITUTE(SUBSTITUTE(SUBSTITUTE(SUBSTITUTE(SUBSTITUTE(SUBSTITUTE(SUBSTITUTE(SUBSTITUTE($W41,"ì","i"),"í","i"),"î","i"),"ï","i"),"ñ","n"),"ò","o"),"ó","o"),"ô","o"),"ö","o"),"õ","o"),"ù","u"),"ú","u"),"û","u"),"ü","u"),"ý","y"),"ÿ","y"),"")</f>
        <v>liqueur / creme de coco</v>
      </c>
      <c r="Y41" s="209" t="str">
        <f>IF(41=41,SUBSTITUTE(SUBSTITUTE(SUBSTITUTE(SUBSTITUTE(SUBSTITUTE(SUBSTITUTE(SUBSTITUTE(SUBSTITUTE(SUBSTITUTE(SUBSTITUTE(SUBSTITUTE(SUBSTITUTE(SUBSTITUTE(SUBSTITUTE($X41,"’"," "),"`"," "),"–"," "),"—"," "),"-"," "),"'"," "),"/"," "),"_"," "),","," "),"."," "),"("," "),")"," "),";"," "),":"," "),"")</f>
        <v>liqueur   creme de coco</v>
      </c>
      <c r="Z41" s="209" t="str">
        <f>IF(41=41,SUBSTITUTE(SUBSTITUTE(SUBSTITUTE(SUBSTITUTE(SUBSTITUTE(SUBSTITUTE(SUBSTITUTE(SUBSTITUTE(SUBSTITUTE(SUBSTITUTE(SUBSTITUTE(SUBSTITUTE(SUBSTITUTE(SUBSTITUTE(SUBSTITUTE($Y41,"!"," "),"?"," "),"+"," "),"*"," "),"&amp;"," "),"["," "),"]"," "),"{"," "),"}"," "),"%"," "),"="," "),"\"," "),"|"," "),"&lt;"," "),"&gt;"," "),"")</f>
        <v>liqueur   creme de coco</v>
      </c>
      <c r="AA41" s="209" t="str">
        <f>IF(41=41," "&amp;TRIM(SUBSTITUTE(SUBSTITUTE(SUBSTITUTE(SUBSTITUTE(SUBSTITUTE(SUBSTITUTE($Z41,CHAR(34)," "),"  "," "),"  "," "),"  "," "),"  "," "),"  "," "))&amp;" ","")</f>
        <v xml:space="preserve"> liqueur creme de coco </v>
      </c>
      <c r="AB41" s="209">
        <f>IF(41=41,IF($U41="","",SUMPRODUCT(--ISNUMBER(SEARCH(" "&amp;$CR$2:$CR$101&amp;" ",$AD41)))),"")</f>
        <v>0</v>
      </c>
      <c r="AC41" s="209">
        <f>IF(41=41,IF($U41="","",SUMPRODUCT(--ISNUMBER(SEARCH(" "&amp;$CR$102:$CR$151&amp;" ",$AD41)))),"")</f>
        <v>0</v>
      </c>
      <c r="AD41" s="209" t="str">
        <f t="shared" si="1"/>
        <v xml:space="preserve"> liqueur creme de coco </v>
      </c>
      <c r="AE41" s="209">
        <f t="shared" si="2"/>
        <v>0</v>
      </c>
      <c r="AF41" s="209" t="str">
        <f>IF(41=41,IF($U41="","",IF(SUM(AB41:AC41)+SUMPRODUCT(--ISNUMBER(SEARCH(" "&amp;$CR$2418:$CR$2420&amp;" ",$AD41)))&gt;0,"X",IF(AE41&gt;0,"?",""))),"")</f>
        <v/>
      </c>
      <c r="AG41" s="209">
        <f>IF(41=41,IF($U41="","",SUMPRODUCT(--ISNUMBER(SEARCH(" "&amp;$CR$206:$CR$305&amp;" ",$AA41)))),"")</f>
        <v>0</v>
      </c>
      <c r="AH41" s="209">
        <f>IF(41=41,IF($U41="","",SUMPRODUCT(--ISNUMBER(SEARCH(" "&amp;$CR$306:$CR$340&amp;" ",$AA41)))),"")</f>
        <v>0</v>
      </c>
      <c r="AI41" s="209" t="str">
        <f>IF(41=41,IF($U41="","",IF((SUM(AG41:AH41))-(0)&gt;0,"X",IF((0)-(0)&gt;0,"?",""))),"")</f>
        <v/>
      </c>
      <c r="AJ41" s="209">
        <f>IF(41=41,IF($U41="","",SUMPRODUCT(--ISNUMBER(SEARCH(" "&amp;$CR$341:$CR$398&amp;" ",$AA41)))),"")</f>
        <v>0</v>
      </c>
      <c r="AK41" s="209">
        <f>IF(41=41,IF($U41="","",SUMPRODUCT(--ISNUMBER(SEARCH(" "&amp;$CR$399:$CR$426&amp;" ",$AL41)))+SUMPRODUCT(--ISNUMBER(SEARCH(" "&amp;$CR$2440:$CR$2453&amp;" ",$AL41)))),"")</f>
        <v>0</v>
      </c>
      <c r="AL41" s="209" t="str">
        <f>IF(41=41,IF($U41="","",SUBSTITUTE(SUBSTITUTE(SUBSTITUTE(SUBSTITUTE(SUBSTITUTE(SUBSTITUTE(SUBSTITUTE(SUBSTITUTE(SUBSTITUTE(SUBSTITUTE(SUBSTITUTE(SUBSTITUTE(SUBSTITUTE(SUBSTITUTE($AA41,"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liqueur creme de coco </v>
      </c>
      <c r="AM41" s="209" t="str">
        <f>IF(41=41,IF($U41="","",IF(AJ41&gt;0,"X",IF(AK41&gt;0,"?",""))),"")</f>
        <v/>
      </c>
      <c r="AN41" s="209">
        <f>IF(41=41,IF($U41="","",SUMPRODUCT(--ISNUMBER(SEARCH(" "&amp;$CR$436:$CR$535&amp;" ",$AX41)))),"")</f>
        <v>0</v>
      </c>
      <c r="AO41" s="209">
        <f>IF(41=41,IF($U41="","",SUMPRODUCT(--ISNUMBER(SEARCH(" "&amp;$CR$536:$CR$635&amp;" ",$AX41)))),"")</f>
        <v>0</v>
      </c>
      <c r="AP41" s="209">
        <f>IF(41=41,IF($U41="","",SUMPRODUCT(--ISNUMBER(SEARCH(" "&amp;$CR$636:$CR$735&amp;" ",$AX41)))),"")</f>
        <v>0</v>
      </c>
      <c r="AQ41" s="209">
        <f>IF(41=41,IF($U41="","",SUMPRODUCT(--ISNUMBER(SEARCH(" "&amp;$CR$736:$CR$835&amp;" ",$AX41)))),"")</f>
        <v>0</v>
      </c>
      <c r="AR41" s="209">
        <f>IF(41=41,IF($U41="","",SUMPRODUCT(--ISNUMBER(SEARCH(" "&amp;$CR$836:$CR$935&amp;" ",$AX41)))),"")</f>
        <v>0</v>
      </c>
      <c r="AS41" s="209">
        <f>IF(41=41,IF($U41="","",SUMPRODUCT(--ISNUMBER(SEARCH(" "&amp;$CR$936:$CR$1035&amp;" ",$AX41)))),"")</f>
        <v>0</v>
      </c>
      <c r="AT41" s="209">
        <f>IF(41=41,IF($U41="","",SUMPRODUCT(--ISNUMBER(SEARCH(" "&amp;$CR$1036:$CR$1135&amp;" ",$AX41)))),"")</f>
        <v>0</v>
      </c>
      <c r="AU41" s="209">
        <f>IF(41=41,IF($U41="","",SUMPRODUCT(--ISNUMBER(SEARCH(" "&amp;$CR$1136:$CR$1235&amp;" ",$AX41)))),"")</f>
        <v>0</v>
      </c>
      <c r="AV41" s="209">
        <f>IF(41=41,IF($U41="","",SUMPRODUCT(--ISNUMBER(SEARCH(" "&amp;$CR$1236:$CR$1335&amp;" ",$AX41)))),"")</f>
        <v>0</v>
      </c>
      <c r="AW41" s="209">
        <f>IF(41=41,IF($U41="","",SUMPRODUCT(--ISNUMBER(SEARCH(" "&amp;$CR$1336:$CR$1363&amp;" ",$AX41)))),"")</f>
        <v>0</v>
      </c>
      <c r="AX41" s="209" t="str">
        <f>IF(41=41,IF($U41="","",SUBSTITUTE(SUBSTITUTE(SUBSTITUTE(SUBSTITUTE(SUBSTITUTE(SUBSTITUTE(SUBSTITUTE(SUBSTITUTE(SUBSTITUTE($AA41,"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liqueur creme de coco </v>
      </c>
      <c r="AY41" s="209">
        <f>IF(41=41,IF($U41="","",SUMPRODUCT(--ISNUMBER(SEARCH(" "&amp;$CR$1373:$CR$1383&amp;" ",$AX41)))),"")</f>
        <v>0</v>
      </c>
      <c r="AZ41" s="209" t="str">
        <f>IF(41=41,IF($U41="","",IF(SUM(AN41:AW41)+SUMPRODUCT(--ISNUMBER(SEARCH(" "&amp;$CR$2421:$CR$2422&amp;" ",$AX41)))&gt;0,"X",IF(AY41&gt;0,"?",""))),"")</f>
        <v/>
      </c>
      <c r="BA41" s="209">
        <f>IF(41=41,IF($U41="","",SUMPRODUCT(--ISNUMBER(SEARCH(" "&amp;$CR$1384:$CR$1404&amp;" ",$AA41)))),"")</f>
        <v>0</v>
      </c>
      <c r="BB41" s="209" t="str">
        <f>IF(41=41,IF($U41="","",IF((BA41)-(0)&gt;0,"X",IF((0)-(0)&gt;0,"?",""))),"")</f>
        <v/>
      </c>
      <c r="BC41" s="209">
        <f>IF(41=41,IF($U41="","",SUMPRODUCT(--ISNUMBER(SEARCH(" "&amp;$CR$1405:$CR$1442&amp;" ",$BD41)))),"")</f>
        <v>0</v>
      </c>
      <c r="BD41" s="209" t="str">
        <f>IF(41=41,IF($U41="","",SUBSTITUTE(SUBSTITUTE($AA41," "&amp;$CR$1443&amp;" "," ")," "&amp;$CR$1444&amp;" "," ")),"")</f>
        <v xml:space="preserve"> liqueur creme de coco </v>
      </c>
      <c r="BE41" s="209">
        <f>IF(41=41,IF($U41="","",SUMPRODUCT(--ISNUMBER(SEARCH(" "&amp;$CR$1445:$CR$1455&amp;" ",$BD41)))),"")</f>
        <v>0</v>
      </c>
      <c r="BF41" s="209" t="str">
        <f>IF(41=41,IF($U41="","",IF(BC41&gt;0,"X",IF(BE41&gt;0,"?",""))),"")</f>
        <v/>
      </c>
      <c r="BG41" s="209">
        <f>IF(41=41,IF($U41="","",SUMPRODUCT(--ISNUMBER(SEARCH(" "&amp;$CR$1456:$CR$1555&amp;" ",$BJ41)))),"")</f>
        <v>0</v>
      </c>
      <c r="BH41" s="209">
        <f>IF(41=41,IF($U41="","",SUMPRODUCT(--ISNUMBER(SEARCH(" "&amp;$CR$1556:$CR$1655&amp;" ",$BJ41)))),"")</f>
        <v>0</v>
      </c>
      <c r="BI41" s="209">
        <f>IF(41=41,IF($U41="","",SUMPRODUCT(--ISNUMBER(SEARCH(" "&amp;$CR$1656:$CR$1739&amp;" ",$BJ41)))),"")</f>
        <v>0</v>
      </c>
      <c r="BJ41" s="209" t="str">
        <f>IF(41=41,IF($U41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41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liqueur </v>
      </c>
      <c r="BK41" s="209">
        <f>IF(41=41,IF($U41="","",SUMPRODUCT(--ISNUMBER(SEARCH(" "&amp;$CR$1790:$CR$1869&amp;" ",$BL41)))+SUMPRODUCT(--ISNUMBER(SEARCH(" "&amp;$CR$2440:$CR$2453&amp;" ",$BL41)))),"")</f>
        <v>0</v>
      </c>
      <c r="BL41" s="209" t="str">
        <f>IF(41=41,IF($U41="","",SUBSTITUTE(SUBSTITUTE(SUBSTITUTE(SUBSTITUTE(SUBSTITUTE(SUBSTITUTE(SUBSTITUTE(SUBSTITUTE(SUBSTITUTE(SUBSTITUTE(SUBSTITUTE(SUBSTITUTE(SUBSTITUTE($BJ41,"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liqueur </v>
      </c>
      <c r="BM41" s="209" t="str">
        <f>IF(41=41,IF($U41="","",IF(SUM(BG41:BI41)+SUMPRODUCT(--ISNUMBER(SEARCH(" "&amp;$CR$2423:$CR$2424&amp;" ",$BJ41)))&gt;0,"X",IF(BK41&gt;0,"?",""))),"")</f>
        <v/>
      </c>
      <c r="BN41" s="209">
        <f>IF(41=41,IF($U41="","",SUMPRODUCT(--ISNUMBER(SEARCH(" "&amp;$CR$1879:$CR$1936&amp;" ",$BO41)))),"")</f>
        <v>0</v>
      </c>
      <c r="BO41" s="209" t="str">
        <f>IF(41=41,IF($U41="","",SUBSTITUTE(SUBSTITUTE(SUBSTITUTE(SUBSTITUTE(SUBSTITUTE(SUBSTITUTE(SUBSTITUTE(SUBSTITUTE(SUBSTITUTE(SUBSTITUTE(SUBSTITUTE(SUBSTITUTE(SUBSTITUTE(SUBSTITUTE(SUBSTITUTE(SUBSTITUTE(SUBSTITUTE(SUBSTITUTE(SUBSTITUTE(SUBSTITUTE(SUBSTITUTE(SUBSTITUTE(SUBSTITUTE($AA41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liqueur </v>
      </c>
      <c r="BP41" s="209">
        <f>IF(41=41,IF($U41="","",SUMPRODUCT(--ISNUMBER(SEARCH(" "&amp;$CR$1960:$CR$1976&amp;" ",$BO41)))),"")</f>
        <v>0</v>
      </c>
      <c r="BQ41" s="209" t="str">
        <f>IF(41=41,IF($U41="","",IF(BN41&gt;0,"X",IF(BP41&gt;0,"?",""))),"")</f>
        <v/>
      </c>
      <c r="BR41" s="209">
        <f>IF(41=41,IF($U41="","",SUMPRODUCT(--ISNUMBER(SEARCH(" "&amp;$CR$1977:$CR$1990&amp;" ",$AA41)))),"")</f>
        <v>0</v>
      </c>
      <c r="BS41" s="209">
        <f>IF(41=41,IF($U41="","",SUMPRODUCT(--ISNUMBER(SEARCH(" "&amp;$CR$1991:$CR$2005&amp;" ",$AA41)))),"")</f>
        <v>0</v>
      </c>
      <c r="BT41" s="209" t="str">
        <f>IF(41=41,IF($U41="","",IF((BR41)-(0)&gt;0,"X",IF((BS41)-(0)&gt;0,"?",""))),"")</f>
        <v/>
      </c>
      <c r="BU41" s="209">
        <f>IF(41=41,IF($U41="","",SUMPRODUCT(--ISNUMBER(SEARCH(" "&amp;$CR$2006:$CR$2023&amp;" ",$AA41)))),"")</f>
        <v>0</v>
      </c>
      <c r="BV41" s="209">
        <f>IF(41=41,IF($U41="","",SUMPRODUCT(--ISNUMBER(SEARCH(" "&amp;$CR$2024:$CR$2038&amp;" ",$AA41)))),"")</f>
        <v>0</v>
      </c>
      <c r="BW41" s="209" t="str">
        <f>IF(41=41,IF($U41="","",IF((BU41)-(0)&gt;0,"X",IF((BV41)-(0)&gt;0,"?",""))),"")</f>
        <v/>
      </c>
      <c r="BX41" s="209">
        <f>IF(41=41,IF($U41="","",SUMPRODUCT(--ISNUMBER(SEARCH(" "&amp;$CR$2039:$CR$2057&amp;" ",$AA41)))),"")</f>
        <v>0</v>
      </c>
      <c r="BY41" s="209">
        <f>IF(41=41,IF($U41="","",SUMPRODUCT(--ISNUMBER(SEARCH(" "&amp;$CR$2058:$CR$2072&amp;" ",$AA41)))),"")</f>
        <v>0</v>
      </c>
      <c r="BZ41" s="209" t="str">
        <f>IF(41=41,IF($U41="","",IF((BX41)-(0)&gt;0,"X",IF((BY41)-(0)&gt;0,"?",""))),"")</f>
        <v/>
      </c>
      <c r="CA41" s="209">
        <f>IF(41=41,IF($U41="","",SUMPRODUCT(--ISNUMBER(SEARCH(" "&amp;$CR$2073:$CR$2093&amp;" ",$AA41)))),"")</f>
        <v>0</v>
      </c>
      <c r="CB41" s="209">
        <f>IF(41=41,IF($U41="","",SUMPRODUCT(--ISNUMBER(SEARCH(" "&amp;$CR$2094:$CR$2133&amp;" ",SUBSTITUTE(SUBSTITUTE($AA41," "&amp;$CR$1367&amp;" "," ")," "&amp;$CR$1366&amp;" "," "))))+--ISNUMBER(SEARCH("poiré",$V41))),"")</f>
        <v>0</v>
      </c>
      <c r="CC41" s="209" t="str">
        <f>IF(41=41,IF($U41="","",IF(OR(CA41&gt;0,ISNUMBER(SEARCH(" vinaigre de vin ",$AA41)),ISNUMBER(SEARCH(" vinaigre au vin ",$AA41))),"X",IF(CB41&gt;0,"?",""))),"")</f>
        <v/>
      </c>
      <c r="CD41" s="209">
        <f>IF(41=41,IF($U41="","",SUMPRODUCT(--ISNUMBER(SEARCH(" "&amp;$CR$2134:$CR$2146&amp;" ",$AA41)))),"")</f>
        <v>0</v>
      </c>
      <c r="CE41" s="209">
        <f>IF(41=41,IF($U41="","",SUMPRODUCT(--ISNUMBER(SEARCH(" "&amp;$CR$2147:$CR$2152&amp;" ",$AA41)))),"")</f>
        <v>0</v>
      </c>
      <c r="CF41" s="209" t="str">
        <f>IF(41=41,IF($U41="","",IF((CD41)-(0)&gt;0,"X",IF((CE41)-(0)&gt;0,"?",""))),"")</f>
        <v/>
      </c>
      <c r="CG41" s="209">
        <f>IF(41=41,IF($U41="","",SUMPRODUCT(--ISNUMBER(SEARCH(" "&amp;$CR$2153:$CR$2252&amp;" ",$CJ41)))),"")</f>
        <v>0</v>
      </c>
      <c r="CH41" s="209">
        <f>IF(41=41,IF($U41="","",SUMPRODUCT(--ISNUMBER(SEARCH(" "&amp;$CR$2253:$CR$2352&amp;" ",$CJ41)))),"")</f>
        <v>0</v>
      </c>
      <c r="CI41" s="209">
        <f>IF(41=41,IF($U41="","",SUMPRODUCT(--ISNUMBER(SEARCH(" "&amp;$CR$2353:$CR$2395&amp;" ",$CJ41)))),"")</f>
        <v>0</v>
      </c>
      <c r="CJ41" s="209" t="str">
        <f>IF(41=41,IF($U41="","",SUBSTITUTE(SUBSTITUTE(SUBSTITUTE(SUBSTITUTE(SUBSTITUTE(SUBSTITUTE(SUBSTITUTE(SUBSTITUTE(SUBSTITUTE(SUBSTITUTE(SUBSTITUTE(SUBSTITUTE(SUBSTITUTE(SUBSTITUTE(SUBSTITUTE(SUBSTITUTE($AA41,"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liqueur creme de coco </v>
      </c>
      <c r="CK41" s="209">
        <f>IF(41=41,IF($U41="","",SUMPRODUCT(--ISNUMBER(SEARCH(" "&amp;$CR$2412:$CR$2416&amp;" ",$CJ41)))),"")</f>
        <v>0</v>
      </c>
      <c r="CL41" s="209" t="str">
        <f>IF(41=41,IF($U41="","",IF(SUM(CG41:CI41)&gt;0,"X",IF(CK41&gt;0,"?",""))),"")</f>
        <v/>
      </c>
      <c r="CM41" s="210"/>
      <c r="CN41" s="213" t="s">
        <v>1056</v>
      </c>
      <c r="CO41" s="213" t="s">
        <v>878</v>
      </c>
      <c r="CP41" s="213" t="s">
        <v>879</v>
      </c>
      <c r="CQ41" s="213" t="s">
        <v>1057</v>
      </c>
      <c r="CR41" s="213" t="s">
        <v>1057</v>
      </c>
      <c r="CS41" s="213" t="s">
        <v>881</v>
      </c>
      <c r="CT41" s="213" t="s">
        <v>882</v>
      </c>
      <c r="CU41" s="213" t="s">
        <v>883</v>
      </c>
      <c r="CV41" s="214" t="s">
        <v>884</v>
      </c>
      <c r="CX41" s="212">
        <v>1</v>
      </c>
    </row>
    <row r="42" spans="1:102" ht="21" customHeight="1">
      <c r="A42" s="229">
        <v>36</v>
      </c>
      <c r="B42" s="230" t="s">
        <v>6597</v>
      </c>
      <c r="C42" s="231" t="str">
        <f t="shared" si="0"/>
        <v>Bitter / amer / apéritif aromatisé</v>
      </c>
      <c r="D42" s="232" t="str">
        <f>IF(42=42,IF($B42="","",IF(E42="X",""&amp;"Céréales contenant du gluten","")&amp;IF(F42="X",IF(COUNTIF($E42:$E42,"X")&gt;0,", ","")&amp;"Crustacés","")&amp;IF(G42="X",IF(COUNTIF($E42:$F42,"X")&gt;0,", ","")&amp;"Œufs","")&amp;IF(H42="X",IF(COUNTIF($E42:$G42,"X")&gt;0,", ","")&amp;"Poissons","")&amp;IF(I42="X",IF(COUNTIF($E42:$H42,"X")&gt;0,", ","")&amp;"Arachides","")&amp;IF(J42="X",IF(COUNTIF($E42:$I42,"X")&gt;0,", ","")&amp;"Soja","")&amp;IF(K42="X",IF(COUNTIF($E42:$J42,"X")&gt;0,", ","")&amp;"Lait","")&amp;IF(L42="X",IF(COUNTIF($E42:$K42,"X")&gt;0,", ","")&amp;"Fruits à coque","")&amp;IF(M42="X",IF(COUNTIF($E42:$L42,"X")&gt;0,", ","")&amp;"Céleri","")&amp;IF(N42="X",IF(COUNTIF($E42:$M42,"X")&gt;0,", ","")&amp;"Moutarde","")&amp;IF(O42="X",IF(COUNTIF($E42:$N42,"X")&gt;0,", ","")&amp;"Sésame","")&amp;IF(P42="X",IF(COUNTIF($E42:$O42,"X")&gt;0,", ","")&amp;"Sulfites","")&amp;IF(Q42="X",IF(COUNTIF($E42:$P42,"X")&gt;0,", ","")&amp;"Lupin","")&amp;IF(R42="X",IF(COUNTIF($E42:$Q42,"X")&gt;0,", ","")&amp;"Mollusques","")),"")</f>
        <v/>
      </c>
      <c r="E42" s="233" t="str">
        <f>IF(42=42,IF($B42="","",IF(OR(ISNUMBER(SEARCH(" biere sans gluten ",$AA42)),ISNUMBER(SEARCH(" gluten free beer ",$AA42)),ISNUMBER(SEARCH(" beer gluten free ",$AA42))),"",IF(AF42="X","X",IF(OR(AF42="?",OR(ISNUMBER(SEARCH(" worcestershire ",$AA42)),ISNUMBER(SEARCH(" bloody mary ",$AA42)))),"?","")))),"")</f>
        <v/>
      </c>
      <c r="F42" s="233" t="str">
        <f>IF(42=42,IF($B42="","",AI42),"")</f>
        <v/>
      </c>
      <c r="G42" s="233" t="str">
        <f>IF(42=42,IF($B42="","",IF(OR(TRIM($AA42)="puree pate d amande",TRIM($AA42)="pate puree d amande",TRIM($AA42)="puree d amande",TRIM($AA42)="pate d amande",TRIM($AA42)="pate puree de noisette",TRIM($AA42)="puree pate de noisette",TRIM($AA42)="puree de noisette",TRIM($AA42)="pate de noisette"),"",IF(OR(AM42="X",OR(ISNUMBER(SEARCH(" macaron ",$AA42)),ISNUMBER(SEARCH(" egg nog ",$AA42)),ISNUMBER(SEARCH(" eggnog ",$AA42)))),"X",IF(OR(AM42="?",OR(ISNUMBER(SEARCH(" biscuit decoratif ",$AA42)),ISNUMBER(SEARCH(" whisky sour ",$AA42)),ISNUMBER(SEARCH(" whiskey sour ",$AA42)),ISNUMBER(SEARCH(" amaretto sour ",$AA42)),ISNUMBER(SEARCH(" pisco sour ",$AA42)),ISNUMBER(SEARCH(" clover club ",$AA42)),ISNUMBER(SEARCH(" ramos gin fizz ",$AA42)))),"?","")))),"")</f>
        <v/>
      </c>
      <c r="H42" s="233" t="str">
        <f>IF(42=42,IF($B42="","",IF(ISNUMBER(SEARCH(" colin ",$AA42)),"X",IF(AZ42="X","X",IF(OR(AZ42="?",OR(ISNUMBER(SEARCH(" worcestershire ",$AA42)),ISNUMBER(SEARCH(" bloody mary ",$AA42)))),"?","")))),"")</f>
        <v/>
      </c>
      <c r="I42" s="233" t="str">
        <f>IF(42=42,IF($B42="","",BB42),"")</f>
        <v/>
      </c>
      <c r="J42" s="233" t="str">
        <f>IF(42=42,IF($B42="","",BF42),"")</f>
        <v/>
      </c>
      <c r="K42" s="233" t="str">
        <f>IF(42=42,IF($B42="","",IF(OR(OR(TRIM($AA42)="puree pate d amande",TRIM($AA42)="pate puree d amande",TRIM($AA42)="puree d amande",TRIM($AA42)="pate d amande",TRIM($AA42)="pate puree de noisette",TRIM($AA42)="puree pate de noisette",TRIM($AA42)="puree de noisette",TRIM($AA42)="pate de noisette"),OR(TRIM($AA42)="beurre puree d arachide",TRIM($AA42)="beurre d arachide",TRIM($AA42)="puree d arachide"),OR(TRIM($AA42)="tahini puree de sesame",TRIM($AA42)="tahini",TRIM($AA42)="puree de sesame")),"",IF(OR(TRIM($AA42)="creme de cassis",TRIM($AA42)="creme de menthe",TRIM($AA42)="creme de cacao",TRIM($AA42)="creme de mure",TRIM($AA42)="creme de framboise",TRIM($AA42)="creme de peche",TRIM($AA42)="creme de banane",TRIM($AA42)="liqueur creme de coco",TRIM($AA42)="creme de coco",TRIM($AA42)="spiritueux aromatise arrange creme de spiritueux"),"?",IF(OR(BM42="X",OR(ISNUMBER(SEARCH(" baileys ",$AA42)),ISNUMBER(SEARCH(" irish cream ",$AA42)),ISNUMBER(SEARCH(" creme de whisky ",$AA42)))),"X",IF(OR(BM42="?",OR(OR(TRIM($AA42)="creme de cassis",TRIM($AA42)="creme de menthe",TRIM($AA42)="creme de cacao",TRIM($AA42)="creme de mure",TRIM($AA42)="creme de framboise",TRIM($AA42)="creme de peche",TRIM($AA42)="creme de banane",TRIM($AA42)="liqueur creme de coco",TRIM($AA42)="creme de coco",TRIM($AA42)="spiritueux aromatise arrange creme de spiritueux"),ISNUMBER(SEARCH(" advocaat ",$AA42)),ISNUMBER(SEARCH(" liqueur aux oeufs ",$AA42)),ISNUMBER(SEARCH(" liqueur de chocolat ",$AA42)),ISNUMBER(SEARCH(" liqueur de caramel ",$AA42)),ISNUMBER(SEARCH(" sauce nappage chocolat ",$AA42)),ISNUMBER(SEARCH(" biscuit decoratif ",$AA42)),ISNUMBER(SEARCH(" white russian ",$AA42)),ISNUMBER(SEARCH(" grasshopper ",$AA42)),ISNUMBER(SEARCH(" irish coffee ",$AA42)),ISNUMBER(SEARCH(" ramos gin fizz ",$AA42)),ISNUMBER(SEARCH(" egg nog ",$AA42)),ISNUMBER(SEARCH(" eggnog ",$AA42)))),"?",""))))),"")</f>
        <v/>
      </c>
      <c r="L42" s="233" t="str">
        <f>IF(42=42,IF($B42="","",IF(OR(BQ42="X",OR(OR(TRIM($AA42)="puree pate d amande",TRIM($AA42)="pate puree d amande",TRIM($AA42)="puree d amande",TRIM($AA42)="pate d amande",TRIM($AA42)="pate puree de noisette",TRIM($AA42)="puree pate de noisette",TRIM($AA42)="puree de noisette",TRIM($AA42)="pate de noisette"),ISNUMBER(SEARCH(" macaron ",$AA42)),TRIM($AA42)="fruits a coque")),"X",IF(OR(BQ42="?",OR(ISNUMBER(SEARCH(" sirop d orgeat ",$AA42)),ISNUMBER(SEARCH(" orgeat ",$AA42)),ISNUMBER(SEARCH(" amaretto ",$AA42)))),"?",""))),"")</f>
        <v/>
      </c>
      <c r="M42" s="233" t="str">
        <f>IF(42=42,IF($B42="","",IF(OR(OR(TRIM($AA42)="puree pate d amande",TRIM($AA42)="pate puree d amande",TRIM($AA42)="puree d amande",TRIM($AA42)="pate d amande",TRIM($AA42)="pate puree de noisette",TRIM($AA42)="puree pate de noisette",TRIM($AA42)="puree de noisette",TRIM($AA42)="pate de noisette"),OR(TRIM($AA42)="tahini puree de sesame",TRIM($AA42)="tahini",TRIM($AA42)="puree de sesame")),"",IF(BT42="X","X",IF(OR(BT42="?",ISNUMBER(SEARCH(" bloody mary ",$AA42))),"?","")))),"")</f>
        <v/>
      </c>
      <c r="N42" s="233" t="str">
        <f>IF(42=42,IF($B42="","",IF(OR(OR(TRIM($AA42)="puree pate d amande",TRIM($AA42)="pate puree d amande",TRIM($AA42)="puree d amande",TRIM($AA42)="pate d amande",TRIM($AA42)="pate puree de noisette",TRIM($AA42)="puree pate de noisette",TRIM($AA42)="puree de noisette",TRIM($AA42)="pate de noisette"),OR(TRIM($AA42)="tahini puree de sesame",TRIM($AA42)="tahini",TRIM($AA42)="puree de sesame")),"",IF(BW42="X","X",IF(OR(BW42="?",ISNUMBER(SEARCH(" bloody mary ",$AA42))),"?","")))),"")</f>
        <v/>
      </c>
      <c r="O42" s="233" t="str">
        <f>IF(42=42,IF($B42="","",BZ42),"")</f>
        <v/>
      </c>
      <c r="P42" s="233" t="str">
        <f>IF(42=42,IF($B42="","",CC42),"")</f>
        <v/>
      </c>
      <c r="Q42" s="233" t="str">
        <f>IF(42=42,IF($B42="","",CF42),"")</f>
        <v/>
      </c>
      <c r="R42" s="233" t="str">
        <f>IF(42=42,IF($B42="","",IF(TRIM($AA42)="fruits a coque","",IF(CL42="X","X",IF(OR(CL42="?",OR(ISNUMBER(SEARCH(" clamato ",$AA42)),ISNUMBER(SEARCH(" bloody caesar ",$AA42)))),"?","")))),"")</f>
        <v/>
      </c>
      <c r="S42" s="234" t="str">
        <f>IF(42=42,IF($B42="","",IF(E42="?",""&amp;"Céréales contenant du gluten","")&amp;IF(F42="?",IF(COUNTIF($E42:$E42,"~?")&gt;0,", ","")&amp;"Crustacés","")&amp;IF(G42="?",IF(COUNTIF($E42:$F42,"~?")&gt;0,", ","")&amp;"Œufs","")&amp;IF(H42="?",IF(COUNTIF($E42:$G42,"~?")&gt;0,", ","")&amp;"Poissons","")&amp;IF(I42="?",IF(COUNTIF($E42:$H42,"~?")&gt;0,", ","")&amp;"Arachides","")&amp;IF(J42="?",IF(COUNTIF($E42:$I42,"~?")&gt;0,", ","")&amp;"Soja","")&amp;IF(K42="?",IF(COUNTIF($E42:$J42,"~?")&gt;0,", ","")&amp;"Lait","")&amp;IF(L42="?",IF(COUNTIF($E42:$K42,"~?")&gt;0,", ","")&amp;"Fruits à coque","")&amp;IF(M42="?",IF(COUNTIF($E42:$L42,"~?")&gt;0,", ","")&amp;"Céleri","")&amp;IF(N42="?",IF(COUNTIF($E42:$M42,"~?")&gt;0,", ","")&amp;"Moutarde","")&amp;IF(O42="?",IF(COUNTIF($E42:$N42,"~?")&gt;0,", ","")&amp;"Sésame","")&amp;IF(P42="?",IF(COUNTIF($E42:$O42,"~?")&gt;0,", ","")&amp;"Sulfites","")&amp;IF(Q42="?",IF(COUNTIF($E42:$P42,"~?")&gt;0,", ","")&amp;"Lupin","")&amp;IF(R42="?",IF(COUNTIF($E42:$Q42,"~?")&gt;0,", ","")&amp;"Mollusques","")),"")</f>
        <v/>
      </c>
      <c r="U42" s="209" t="str">
        <f>IF(42=42,IF($B42="","",$B42),"")</f>
        <v>Bitter / amer / apéritif aromatisé</v>
      </c>
      <c r="V42" s="209" t="str">
        <f>IF(42=42,LOWER(CLEAN(SUBSTITUTE(SUBSTITUTE(SUBSTITUTE(SUBSTITUTE($U42,CHAR(160)," ")," "," "),CHAR(10)," "),CHAR(13)," "))),"")</f>
        <v>bitter / amer / apéritif aromatisé</v>
      </c>
      <c r="W42" s="209" t="str">
        <f>IF(42=42,SUBSTITUTE(SUBSTITUTE(SUBSTITUTE(SUBSTITUTE(SUBSTITUTE(SUBSTITUTE(SUBSTITUTE(SUBSTITUTE(SUBSTITUTE(SUBSTITUTE(SUBSTITUTE(SUBSTITUTE($V42,"œ","oe"),"æ","ae"),"à","a"),"á","a"),"â","a"),"ä","a"),"ã","a"),"ç","c"),"è","e"),"é","e"),"ê","e"),"ë","e"),"")</f>
        <v>bitter / amer / aperitif aromatise</v>
      </c>
      <c r="X42" s="209" t="str">
        <f>IF(42=42,SUBSTITUTE(SUBSTITUTE(SUBSTITUTE(SUBSTITUTE(SUBSTITUTE(SUBSTITUTE(SUBSTITUTE(SUBSTITUTE(SUBSTITUTE(SUBSTITUTE(SUBSTITUTE(SUBSTITUTE(SUBSTITUTE(SUBSTITUTE(SUBSTITUTE(SUBSTITUTE($W42,"ì","i"),"í","i"),"î","i"),"ï","i"),"ñ","n"),"ò","o"),"ó","o"),"ô","o"),"ö","o"),"õ","o"),"ù","u"),"ú","u"),"û","u"),"ü","u"),"ý","y"),"ÿ","y"),"")</f>
        <v>bitter / amer / aperitif aromatise</v>
      </c>
      <c r="Y42" s="209" t="str">
        <f>IF(42=42,SUBSTITUTE(SUBSTITUTE(SUBSTITUTE(SUBSTITUTE(SUBSTITUTE(SUBSTITUTE(SUBSTITUTE(SUBSTITUTE(SUBSTITUTE(SUBSTITUTE(SUBSTITUTE(SUBSTITUTE(SUBSTITUTE(SUBSTITUTE($X42,"’"," "),"`"," "),"–"," "),"—"," "),"-"," "),"'"," "),"/"," "),"_"," "),","," "),"."," "),"("," "),")"," "),";"," "),":"," "),"")</f>
        <v>bitter   amer   aperitif aromatise</v>
      </c>
      <c r="Z42" s="209" t="str">
        <f>IF(42=42,SUBSTITUTE(SUBSTITUTE(SUBSTITUTE(SUBSTITUTE(SUBSTITUTE(SUBSTITUTE(SUBSTITUTE(SUBSTITUTE(SUBSTITUTE(SUBSTITUTE(SUBSTITUTE(SUBSTITUTE(SUBSTITUTE(SUBSTITUTE(SUBSTITUTE($Y42,"!"," "),"?"," "),"+"," "),"*"," "),"&amp;"," "),"["," "),"]"," "),"{"," "),"}"," "),"%"," "),"="," "),"\"," "),"|"," "),"&lt;"," "),"&gt;"," "),"")</f>
        <v>bitter   amer   aperitif aromatise</v>
      </c>
      <c r="AA42" s="209" t="str">
        <f>IF(42=42," "&amp;TRIM(SUBSTITUTE(SUBSTITUTE(SUBSTITUTE(SUBSTITUTE(SUBSTITUTE(SUBSTITUTE($Z42,CHAR(34)," "),"  "," "),"  "," "),"  "," "),"  "," "),"  "," "))&amp;" ","")</f>
        <v xml:space="preserve"> bitter amer aperitif aromatise </v>
      </c>
      <c r="AB42" s="209">
        <f>IF(42=42,IF($U42="","",SUMPRODUCT(--ISNUMBER(SEARCH(" "&amp;$CR$2:$CR$101&amp;" ",$AD42)))),"")</f>
        <v>0</v>
      </c>
      <c r="AC42" s="209">
        <f>IF(42=42,IF($U42="","",SUMPRODUCT(--ISNUMBER(SEARCH(" "&amp;$CR$102:$CR$151&amp;" ",$AD42)))),"")</f>
        <v>0</v>
      </c>
      <c r="AD42" s="209" t="str">
        <f t="shared" si="1"/>
        <v xml:space="preserve"> bitter amer aperitif aromatise </v>
      </c>
      <c r="AE42" s="209">
        <f t="shared" si="2"/>
        <v>0</v>
      </c>
      <c r="AF42" s="209" t="str">
        <f>IF(42=42,IF($U42="","",IF(SUM(AB42:AC42)+SUMPRODUCT(--ISNUMBER(SEARCH(" "&amp;$CR$2418:$CR$2420&amp;" ",$AD42)))&gt;0,"X",IF(AE42&gt;0,"?",""))),"")</f>
        <v/>
      </c>
      <c r="AG42" s="209">
        <f>IF(42=42,IF($U42="","",SUMPRODUCT(--ISNUMBER(SEARCH(" "&amp;$CR$206:$CR$305&amp;" ",$AA42)))),"")</f>
        <v>0</v>
      </c>
      <c r="AH42" s="209">
        <f>IF(42=42,IF($U42="","",SUMPRODUCT(--ISNUMBER(SEARCH(" "&amp;$CR$306:$CR$340&amp;" ",$AA42)))),"")</f>
        <v>0</v>
      </c>
      <c r="AI42" s="209" t="str">
        <f>IF(42=42,IF($U42="","",IF((SUM(AG42:AH42))-(0)&gt;0,"X",IF((0)-(0)&gt;0,"?",""))),"")</f>
        <v/>
      </c>
      <c r="AJ42" s="209">
        <f>IF(42=42,IF($U42="","",SUMPRODUCT(--ISNUMBER(SEARCH(" "&amp;$CR$341:$CR$398&amp;" ",$AA42)))),"")</f>
        <v>0</v>
      </c>
      <c r="AK42" s="209">
        <f>IF(42=42,IF($U42="","",SUMPRODUCT(--ISNUMBER(SEARCH(" "&amp;$CR$399:$CR$426&amp;" ",$AL42)))+SUMPRODUCT(--ISNUMBER(SEARCH(" "&amp;$CR$2440:$CR$2453&amp;" ",$AL42)))),"")</f>
        <v>0</v>
      </c>
      <c r="AL42" s="209" t="str">
        <f>IF(42=42,IF($U42="","",SUBSTITUTE(SUBSTITUTE(SUBSTITUTE(SUBSTITUTE(SUBSTITUTE(SUBSTITUTE(SUBSTITUTE(SUBSTITUTE(SUBSTITUTE(SUBSTITUTE(SUBSTITUTE(SUBSTITUTE(SUBSTITUTE(SUBSTITUTE($AA42,"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bitter amer aperitif aromatise </v>
      </c>
      <c r="AM42" s="209" t="str">
        <f>IF(42=42,IF($U42="","",IF(AJ42&gt;0,"X",IF(AK42&gt;0,"?",""))),"")</f>
        <v/>
      </c>
      <c r="AN42" s="209">
        <f>IF(42=42,IF($U42="","",SUMPRODUCT(--ISNUMBER(SEARCH(" "&amp;$CR$436:$CR$535&amp;" ",$AX42)))),"")</f>
        <v>0</v>
      </c>
      <c r="AO42" s="209">
        <f>IF(42=42,IF($U42="","",SUMPRODUCT(--ISNUMBER(SEARCH(" "&amp;$CR$536:$CR$635&amp;" ",$AX42)))),"")</f>
        <v>0</v>
      </c>
      <c r="AP42" s="209">
        <f>IF(42=42,IF($U42="","",SUMPRODUCT(--ISNUMBER(SEARCH(" "&amp;$CR$636:$CR$735&amp;" ",$AX42)))),"")</f>
        <v>0</v>
      </c>
      <c r="AQ42" s="209">
        <f>IF(42=42,IF($U42="","",SUMPRODUCT(--ISNUMBER(SEARCH(" "&amp;$CR$736:$CR$835&amp;" ",$AX42)))),"")</f>
        <v>0</v>
      </c>
      <c r="AR42" s="209">
        <f>IF(42=42,IF($U42="","",SUMPRODUCT(--ISNUMBER(SEARCH(" "&amp;$CR$836:$CR$935&amp;" ",$AX42)))),"")</f>
        <v>0</v>
      </c>
      <c r="AS42" s="209">
        <f>IF(42=42,IF($U42="","",SUMPRODUCT(--ISNUMBER(SEARCH(" "&amp;$CR$936:$CR$1035&amp;" ",$AX42)))),"")</f>
        <v>0</v>
      </c>
      <c r="AT42" s="209">
        <f>IF(42=42,IF($U42="","",SUMPRODUCT(--ISNUMBER(SEARCH(" "&amp;$CR$1036:$CR$1135&amp;" ",$AX42)))),"")</f>
        <v>0</v>
      </c>
      <c r="AU42" s="209">
        <f>IF(42=42,IF($U42="","",SUMPRODUCT(--ISNUMBER(SEARCH(" "&amp;$CR$1136:$CR$1235&amp;" ",$AX42)))),"")</f>
        <v>0</v>
      </c>
      <c r="AV42" s="209">
        <f>IF(42=42,IF($U42="","",SUMPRODUCT(--ISNUMBER(SEARCH(" "&amp;$CR$1236:$CR$1335&amp;" ",$AX42)))),"")</f>
        <v>0</v>
      </c>
      <c r="AW42" s="209">
        <f>IF(42=42,IF($U42="","",SUMPRODUCT(--ISNUMBER(SEARCH(" "&amp;$CR$1336:$CR$1363&amp;" ",$AX42)))),"")</f>
        <v>0</v>
      </c>
      <c r="AX42" s="209" t="str">
        <f>IF(42=42,IF($U42="","",SUBSTITUTE(SUBSTITUTE(SUBSTITUTE(SUBSTITUTE(SUBSTITUTE(SUBSTITUTE(SUBSTITUTE(SUBSTITUTE(SUBSTITUTE($AA42,"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bitter amer aperitif aromatise </v>
      </c>
      <c r="AY42" s="209">
        <f>IF(42=42,IF($U42="","",SUMPRODUCT(--ISNUMBER(SEARCH(" "&amp;$CR$1373:$CR$1383&amp;" ",$AX42)))),"")</f>
        <v>0</v>
      </c>
      <c r="AZ42" s="209" t="str">
        <f>IF(42=42,IF($U42="","",IF(SUM(AN42:AW42)+SUMPRODUCT(--ISNUMBER(SEARCH(" "&amp;$CR$2421:$CR$2422&amp;" ",$AX42)))&gt;0,"X",IF(AY42&gt;0,"?",""))),"")</f>
        <v/>
      </c>
      <c r="BA42" s="209">
        <f>IF(42=42,IF($U42="","",SUMPRODUCT(--ISNUMBER(SEARCH(" "&amp;$CR$1384:$CR$1404&amp;" ",$AA42)))),"")</f>
        <v>0</v>
      </c>
      <c r="BB42" s="209" t="str">
        <f>IF(42=42,IF($U42="","",IF((BA42)-(0)&gt;0,"X",IF((0)-(0)&gt;0,"?",""))),"")</f>
        <v/>
      </c>
      <c r="BC42" s="209">
        <f>IF(42=42,IF($U42="","",SUMPRODUCT(--ISNUMBER(SEARCH(" "&amp;$CR$1405:$CR$1442&amp;" ",$BD42)))),"")</f>
        <v>0</v>
      </c>
      <c r="BD42" s="209" t="str">
        <f>IF(42=42,IF($U42="","",SUBSTITUTE(SUBSTITUTE($AA42," "&amp;$CR$1443&amp;" "," ")," "&amp;$CR$1444&amp;" "," ")),"")</f>
        <v xml:space="preserve"> bitter amer aperitif aromatise </v>
      </c>
      <c r="BE42" s="209">
        <f>IF(42=42,IF($U42="","",SUMPRODUCT(--ISNUMBER(SEARCH(" "&amp;$CR$1445:$CR$1455&amp;" ",$BD42)))),"")</f>
        <v>0</v>
      </c>
      <c r="BF42" s="209" t="str">
        <f>IF(42=42,IF($U42="","",IF(BC42&gt;0,"X",IF(BE42&gt;0,"?",""))),"")</f>
        <v/>
      </c>
      <c r="BG42" s="209">
        <f>IF(42=42,IF($U42="","",SUMPRODUCT(--ISNUMBER(SEARCH(" "&amp;$CR$1456:$CR$1555&amp;" ",$BJ42)))),"")</f>
        <v>0</v>
      </c>
      <c r="BH42" s="209">
        <f>IF(42=42,IF($U42="","",SUMPRODUCT(--ISNUMBER(SEARCH(" "&amp;$CR$1556:$CR$1655&amp;" ",$BJ42)))),"")</f>
        <v>0</v>
      </c>
      <c r="BI42" s="209">
        <f>IF(42=42,IF($U42="","",SUMPRODUCT(--ISNUMBER(SEARCH(" "&amp;$CR$1656:$CR$1739&amp;" ",$BJ42)))),"")</f>
        <v>0</v>
      </c>
      <c r="BJ42" s="209" t="str">
        <f>IF(42=42,IF($U42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42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bitter amer aperitif aromatise </v>
      </c>
      <c r="BK42" s="209">
        <f>IF(42=42,IF($U42="","",SUMPRODUCT(--ISNUMBER(SEARCH(" "&amp;$CR$1790:$CR$1869&amp;" ",$BL42)))+SUMPRODUCT(--ISNUMBER(SEARCH(" "&amp;$CR$2440:$CR$2453&amp;" ",$BL42)))),"")</f>
        <v>0</v>
      </c>
      <c r="BL42" s="209" t="str">
        <f>IF(42=42,IF($U42="","",SUBSTITUTE(SUBSTITUTE(SUBSTITUTE(SUBSTITUTE(SUBSTITUTE(SUBSTITUTE(SUBSTITUTE(SUBSTITUTE(SUBSTITUTE(SUBSTITUTE(SUBSTITUTE(SUBSTITUTE(SUBSTITUTE($BJ42,"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bitter amer aperitif aromatise </v>
      </c>
      <c r="BM42" s="209" t="str">
        <f>IF(42=42,IF($U42="","",IF(SUM(BG42:BI42)+SUMPRODUCT(--ISNUMBER(SEARCH(" "&amp;$CR$2423:$CR$2424&amp;" ",$BJ42)))&gt;0,"X",IF(BK42&gt;0,"?",""))),"")</f>
        <v/>
      </c>
      <c r="BN42" s="209">
        <f>IF(42=42,IF($U42="","",SUMPRODUCT(--ISNUMBER(SEARCH(" "&amp;$CR$1879:$CR$1936&amp;" ",$BO42)))),"")</f>
        <v>0</v>
      </c>
      <c r="BO42" s="209" t="str">
        <f>IF(42=42,IF($U42="","",SUBSTITUTE(SUBSTITUTE(SUBSTITUTE(SUBSTITUTE(SUBSTITUTE(SUBSTITUTE(SUBSTITUTE(SUBSTITUTE(SUBSTITUTE(SUBSTITUTE(SUBSTITUTE(SUBSTITUTE(SUBSTITUTE(SUBSTITUTE(SUBSTITUTE(SUBSTITUTE(SUBSTITUTE(SUBSTITUTE(SUBSTITUTE(SUBSTITUTE(SUBSTITUTE(SUBSTITUTE(SUBSTITUTE($AA42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bitter amer aperitif aromatise </v>
      </c>
      <c r="BP42" s="209">
        <f>IF(42=42,IF($U42="","",SUMPRODUCT(--ISNUMBER(SEARCH(" "&amp;$CR$1960:$CR$1976&amp;" ",$BO42)))),"")</f>
        <v>0</v>
      </c>
      <c r="BQ42" s="209" t="str">
        <f>IF(42=42,IF($U42="","",IF(BN42&gt;0,"X",IF(BP42&gt;0,"?",""))),"")</f>
        <v/>
      </c>
      <c r="BR42" s="209">
        <f>IF(42=42,IF($U42="","",SUMPRODUCT(--ISNUMBER(SEARCH(" "&amp;$CR$1977:$CR$1990&amp;" ",$AA42)))),"")</f>
        <v>0</v>
      </c>
      <c r="BS42" s="209">
        <f>IF(42=42,IF($U42="","",SUMPRODUCT(--ISNUMBER(SEARCH(" "&amp;$CR$1991:$CR$2005&amp;" ",$AA42)))),"")</f>
        <v>0</v>
      </c>
      <c r="BT42" s="209" t="str">
        <f>IF(42=42,IF($U42="","",IF((BR42)-(0)&gt;0,"X",IF((BS42)-(0)&gt;0,"?",""))),"")</f>
        <v/>
      </c>
      <c r="BU42" s="209">
        <f>IF(42=42,IF($U42="","",SUMPRODUCT(--ISNUMBER(SEARCH(" "&amp;$CR$2006:$CR$2023&amp;" ",$AA42)))),"")</f>
        <v>0</v>
      </c>
      <c r="BV42" s="209">
        <f>IF(42=42,IF($U42="","",SUMPRODUCT(--ISNUMBER(SEARCH(" "&amp;$CR$2024:$CR$2038&amp;" ",$AA42)))),"")</f>
        <v>0</v>
      </c>
      <c r="BW42" s="209" t="str">
        <f>IF(42=42,IF($U42="","",IF((BU42)-(0)&gt;0,"X",IF((BV42)-(0)&gt;0,"?",""))),"")</f>
        <v/>
      </c>
      <c r="BX42" s="209">
        <f>IF(42=42,IF($U42="","",SUMPRODUCT(--ISNUMBER(SEARCH(" "&amp;$CR$2039:$CR$2057&amp;" ",$AA42)))),"")</f>
        <v>0</v>
      </c>
      <c r="BY42" s="209">
        <f>IF(42=42,IF($U42="","",SUMPRODUCT(--ISNUMBER(SEARCH(" "&amp;$CR$2058:$CR$2072&amp;" ",$AA42)))),"")</f>
        <v>0</v>
      </c>
      <c r="BZ42" s="209" t="str">
        <f>IF(42=42,IF($U42="","",IF((BX42)-(0)&gt;0,"X",IF((BY42)-(0)&gt;0,"?",""))),"")</f>
        <v/>
      </c>
      <c r="CA42" s="209">
        <f>IF(42=42,IF($U42="","",SUMPRODUCT(--ISNUMBER(SEARCH(" "&amp;$CR$2073:$CR$2093&amp;" ",$AA42)))),"")</f>
        <v>0</v>
      </c>
      <c r="CB42" s="209">
        <f>IF(42=42,IF($U42="","",SUMPRODUCT(--ISNUMBER(SEARCH(" "&amp;$CR$2094:$CR$2133&amp;" ",SUBSTITUTE(SUBSTITUTE($AA42," "&amp;$CR$1367&amp;" "," ")," "&amp;$CR$1366&amp;" "," "))))+--ISNUMBER(SEARCH("poiré",$V42))),"")</f>
        <v>0</v>
      </c>
      <c r="CC42" s="209" t="str">
        <f>IF(42=42,IF($U42="","",IF(OR(CA42&gt;0,ISNUMBER(SEARCH(" vinaigre de vin ",$AA42)),ISNUMBER(SEARCH(" vinaigre au vin ",$AA42))),"X",IF(CB42&gt;0,"?",""))),"")</f>
        <v/>
      </c>
      <c r="CD42" s="209">
        <f>IF(42=42,IF($U42="","",SUMPRODUCT(--ISNUMBER(SEARCH(" "&amp;$CR$2134:$CR$2146&amp;" ",$AA42)))),"")</f>
        <v>0</v>
      </c>
      <c r="CE42" s="209">
        <f>IF(42=42,IF($U42="","",SUMPRODUCT(--ISNUMBER(SEARCH(" "&amp;$CR$2147:$CR$2152&amp;" ",$AA42)))),"")</f>
        <v>0</v>
      </c>
      <c r="CF42" s="209" t="str">
        <f>IF(42=42,IF($U42="","",IF((CD42)-(0)&gt;0,"X",IF((CE42)-(0)&gt;0,"?",""))),"")</f>
        <v/>
      </c>
      <c r="CG42" s="209">
        <f>IF(42=42,IF($U42="","",SUMPRODUCT(--ISNUMBER(SEARCH(" "&amp;$CR$2153:$CR$2252&amp;" ",$CJ42)))),"")</f>
        <v>0</v>
      </c>
      <c r="CH42" s="209">
        <f>IF(42=42,IF($U42="","",SUMPRODUCT(--ISNUMBER(SEARCH(" "&amp;$CR$2253:$CR$2352&amp;" ",$CJ42)))),"")</f>
        <v>0</v>
      </c>
      <c r="CI42" s="209">
        <f>IF(42=42,IF($U42="","",SUMPRODUCT(--ISNUMBER(SEARCH(" "&amp;$CR$2353:$CR$2395&amp;" ",$CJ42)))),"")</f>
        <v>0</v>
      </c>
      <c r="CJ42" s="209" t="str">
        <f>IF(42=42,IF($U42="","",SUBSTITUTE(SUBSTITUTE(SUBSTITUTE(SUBSTITUTE(SUBSTITUTE(SUBSTITUTE(SUBSTITUTE(SUBSTITUTE(SUBSTITUTE(SUBSTITUTE(SUBSTITUTE(SUBSTITUTE(SUBSTITUTE(SUBSTITUTE(SUBSTITUTE(SUBSTITUTE($AA42,"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bitter amer aperitif aromatise </v>
      </c>
      <c r="CK42" s="209">
        <f>IF(42=42,IF($U42="","",SUMPRODUCT(--ISNUMBER(SEARCH(" "&amp;$CR$2412:$CR$2416&amp;" ",$CJ42)))),"")</f>
        <v>0</v>
      </c>
      <c r="CL42" s="209" t="str">
        <f>IF(42=42,IF($U42="","",IF(SUM(CG42:CI42)&gt;0,"X",IF(CK42&gt;0,"?",""))),"")</f>
        <v/>
      </c>
      <c r="CM42" s="210"/>
      <c r="CN42" s="213" t="s">
        <v>1058</v>
      </c>
      <c r="CO42" s="213" t="s">
        <v>878</v>
      </c>
      <c r="CP42" s="213" t="s">
        <v>879</v>
      </c>
      <c r="CQ42" s="213" t="s">
        <v>1059</v>
      </c>
      <c r="CR42" s="213" t="s">
        <v>1060</v>
      </c>
      <c r="CS42" s="213" t="s">
        <v>881</v>
      </c>
      <c r="CT42" s="213" t="s">
        <v>882</v>
      </c>
      <c r="CU42" s="213" t="s">
        <v>883</v>
      </c>
      <c r="CV42" s="214" t="s">
        <v>884</v>
      </c>
      <c r="CX42" s="212">
        <v>1</v>
      </c>
    </row>
    <row r="43" spans="1:102" ht="21" customHeight="1">
      <c r="A43" s="229">
        <v>37</v>
      </c>
      <c r="B43" s="230" t="s">
        <v>6602</v>
      </c>
      <c r="C43" s="231" t="str">
        <f t="shared" si="0"/>
        <v>Mix cocktail prêt à l'emploi</v>
      </c>
      <c r="D43" s="232" t="str">
        <f>IF(43=43,IF($B43="","",IF(E43="X",""&amp;"Céréales contenant du gluten","")&amp;IF(F43="X",IF(COUNTIF($E43:$E43,"X")&gt;0,", ","")&amp;"Crustacés","")&amp;IF(G43="X",IF(COUNTIF($E43:$F43,"X")&gt;0,", ","")&amp;"Œufs","")&amp;IF(H43="X",IF(COUNTIF($E43:$G43,"X")&gt;0,", ","")&amp;"Poissons","")&amp;IF(I43="X",IF(COUNTIF($E43:$H43,"X")&gt;0,", ","")&amp;"Arachides","")&amp;IF(J43="X",IF(COUNTIF($E43:$I43,"X")&gt;0,", ","")&amp;"Soja","")&amp;IF(K43="X",IF(COUNTIF($E43:$J43,"X")&gt;0,", ","")&amp;"Lait","")&amp;IF(L43="X",IF(COUNTIF($E43:$K43,"X")&gt;0,", ","")&amp;"Fruits à coque","")&amp;IF(M43="X",IF(COUNTIF($E43:$L43,"X")&gt;0,", ","")&amp;"Céleri","")&amp;IF(N43="X",IF(COUNTIF($E43:$M43,"X")&gt;0,", ","")&amp;"Moutarde","")&amp;IF(O43="X",IF(COUNTIF($E43:$N43,"X")&gt;0,", ","")&amp;"Sésame","")&amp;IF(P43="X",IF(COUNTIF($E43:$O43,"X")&gt;0,", ","")&amp;"Sulfites","")&amp;IF(Q43="X",IF(COUNTIF($E43:$P43,"X")&gt;0,", ","")&amp;"Lupin","")&amp;IF(R43="X",IF(COUNTIF($E43:$Q43,"X")&gt;0,", ","")&amp;"Mollusques","")),"")</f>
        <v/>
      </c>
      <c r="E43" s="233" t="str">
        <f>IF(43=43,IF($B43="","",IF(OR(ISNUMBER(SEARCH(" biere sans gluten ",$AA43)),ISNUMBER(SEARCH(" gluten free beer ",$AA43)),ISNUMBER(SEARCH(" beer gluten free ",$AA43))),"",IF(AF43="X","X",IF(OR(AF43="?",OR(ISNUMBER(SEARCH(" worcestershire ",$AA43)),ISNUMBER(SEARCH(" bloody mary ",$AA43)))),"?","")))),"")</f>
        <v/>
      </c>
      <c r="F43" s="233" t="str">
        <f>IF(43=43,IF($B43="","",AI43),"")</f>
        <v/>
      </c>
      <c r="G43" s="233" t="str">
        <f>IF(43=43,IF($B43="","",IF(OR(TRIM($AA43)="puree pate d amande",TRIM($AA43)="pate puree d amande",TRIM($AA43)="puree d amande",TRIM($AA43)="pate d amande",TRIM($AA43)="pate puree de noisette",TRIM($AA43)="puree pate de noisette",TRIM($AA43)="puree de noisette",TRIM($AA43)="pate de noisette"),"",IF(OR(AM43="X",OR(ISNUMBER(SEARCH(" macaron ",$AA43)),ISNUMBER(SEARCH(" egg nog ",$AA43)),ISNUMBER(SEARCH(" eggnog ",$AA43)))),"X",IF(OR(AM43="?",OR(ISNUMBER(SEARCH(" biscuit decoratif ",$AA43)),ISNUMBER(SEARCH(" whisky sour ",$AA43)),ISNUMBER(SEARCH(" whiskey sour ",$AA43)),ISNUMBER(SEARCH(" amaretto sour ",$AA43)),ISNUMBER(SEARCH(" pisco sour ",$AA43)),ISNUMBER(SEARCH(" clover club ",$AA43)),ISNUMBER(SEARCH(" ramos gin fizz ",$AA43)))),"?","")))),"")</f>
        <v/>
      </c>
      <c r="H43" s="233" t="str">
        <f>IF(43=43,IF($B43="","",IF(ISNUMBER(SEARCH(" colin ",$AA43)),"X",IF(AZ43="X","X",IF(OR(AZ43="?",OR(ISNUMBER(SEARCH(" worcestershire ",$AA43)),ISNUMBER(SEARCH(" bloody mary ",$AA43)))),"?","")))),"")</f>
        <v/>
      </c>
      <c r="I43" s="233" t="str">
        <f>IF(43=43,IF($B43="","",BB43),"")</f>
        <v/>
      </c>
      <c r="J43" s="233" t="str">
        <f>IF(43=43,IF($B43="","",BF43),"")</f>
        <v/>
      </c>
      <c r="K43" s="233" t="str">
        <f>IF(43=43,IF($B43="","",IF(OR(OR(TRIM($AA43)="puree pate d amande",TRIM($AA43)="pate puree d amande",TRIM($AA43)="puree d amande",TRIM($AA43)="pate d amande",TRIM($AA43)="pate puree de noisette",TRIM($AA43)="puree pate de noisette",TRIM($AA43)="puree de noisette",TRIM($AA43)="pate de noisette"),OR(TRIM($AA43)="beurre puree d arachide",TRIM($AA43)="beurre d arachide",TRIM($AA43)="puree d arachide"),OR(TRIM($AA43)="tahini puree de sesame",TRIM($AA43)="tahini",TRIM($AA43)="puree de sesame")),"",IF(OR(TRIM($AA43)="creme de cassis",TRIM($AA43)="creme de menthe",TRIM($AA43)="creme de cacao",TRIM($AA43)="creme de mure",TRIM($AA43)="creme de framboise",TRIM($AA43)="creme de peche",TRIM($AA43)="creme de banane",TRIM($AA43)="liqueur creme de coco",TRIM($AA43)="creme de coco",TRIM($AA43)="spiritueux aromatise arrange creme de spiritueux"),"?",IF(OR(BM43="X",OR(ISNUMBER(SEARCH(" baileys ",$AA43)),ISNUMBER(SEARCH(" irish cream ",$AA43)),ISNUMBER(SEARCH(" creme de whisky ",$AA43)))),"X",IF(OR(BM43="?",OR(OR(TRIM($AA43)="creme de cassis",TRIM($AA43)="creme de menthe",TRIM($AA43)="creme de cacao",TRIM($AA43)="creme de mure",TRIM($AA43)="creme de framboise",TRIM($AA43)="creme de peche",TRIM($AA43)="creme de banane",TRIM($AA43)="liqueur creme de coco",TRIM($AA43)="creme de coco",TRIM($AA43)="spiritueux aromatise arrange creme de spiritueux"),ISNUMBER(SEARCH(" advocaat ",$AA43)),ISNUMBER(SEARCH(" liqueur aux oeufs ",$AA43)),ISNUMBER(SEARCH(" liqueur de chocolat ",$AA43)),ISNUMBER(SEARCH(" liqueur de caramel ",$AA43)),ISNUMBER(SEARCH(" sauce nappage chocolat ",$AA43)),ISNUMBER(SEARCH(" biscuit decoratif ",$AA43)),ISNUMBER(SEARCH(" white russian ",$AA43)),ISNUMBER(SEARCH(" grasshopper ",$AA43)),ISNUMBER(SEARCH(" irish coffee ",$AA43)),ISNUMBER(SEARCH(" ramos gin fizz ",$AA43)),ISNUMBER(SEARCH(" egg nog ",$AA43)),ISNUMBER(SEARCH(" eggnog ",$AA43)))),"?",""))))),"")</f>
        <v/>
      </c>
      <c r="L43" s="233" t="str">
        <f>IF(43=43,IF($B43="","",IF(OR(BQ43="X",OR(OR(TRIM($AA43)="puree pate d amande",TRIM($AA43)="pate puree d amande",TRIM($AA43)="puree d amande",TRIM($AA43)="pate d amande",TRIM($AA43)="pate puree de noisette",TRIM($AA43)="puree pate de noisette",TRIM($AA43)="puree de noisette",TRIM($AA43)="pate de noisette"),ISNUMBER(SEARCH(" macaron ",$AA43)),TRIM($AA43)="fruits a coque")),"X",IF(OR(BQ43="?",OR(ISNUMBER(SEARCH(" sirop d orgeat ",$AA43)),ISNUMBER(SEARCH(" orgeat ",$AA43)),ISNUMBER(SEARCH(" amaretto ",$AA43)))),"?",""))),"")</f>
        <v/>
      </c>
      <c r="M43" s="233" t="str">
        <f>IF(43=43,IF($B43="","",IF(OR(OR(TRIM($AA43)="puree pate d amande",TRIM($AA43)="pate puree d amande",TRIM($AA43)="puree d amande",TRIM($AA43)="pate d amande",TRIM($AA43)="pate puree de noisette",TRIM($AA43)="puree pate de noisette",TRIM($AA43)="puree de noisette",TRIM($AA43)="pate de noisette"),OR(TRIM($AA43)="tahini puree de sesame",TRIM($AA43)="tahini",TRIM($AA43)="puree de sesame")),"",IF(BT43="X","X",IF(OR(BT43="?",ISNUMBER(SEARCH(" bloody mary ",$AA43))),"?","")))),"")</f>
        <v/>
      </c>
      <c r="N43" s="233" t="str">
        <f>IF(43=43,IF($B43="","",IF(OR(OR(TRIM($AA43)="puree pate d amande",TRIM($AA43)="pate puree d amande",TRIM($AA43)="puree d amande",TRIM($AA43)="pate d amande",TRIM($AA43)="pate puree de noisette",TRIM($AA43)="puree pate de noisette",TRIM($AA43)="puree de noisette",TRIM($AA43)="pate de noisette"),OR(TRIM($AA43)="tahini puree de sesame",TRIM($AA43)="tahini",TRIM($AA43)="puree de sesame")),"",IF(BW43="X","X",IF(OR(BW43="?",ISNUMBER(SEARCH(" bloody mary ",$AA43))),"?","")))),"")</f>
        <v/>
      </c>
      <c r="O43" s="233" t="str">
        <f>IF(43=43,IF($B43="","",BZ43),"")</f>
        <v/>
      </c>
      <c r="P43" s="233" t="str">
        <f>IF(43=43,IF($B43="","",CC43),"")</f>
        <v/>
      </c>
      <c r="Q43" s="233" t="str">
        <f>IF(43=43,IF($B43="","",CF43),"")</f>
        <v/>
      </c>
      <c r="R43" s="233" t="str">
        <f>IF(43=43,IF($B43="","",IF(TRIM($AA43)="fruits a coque","",IF(CL43="X","X",IF(OR(CL43="?",OR(ISNUMBER(SEARCH(" clamato ",$AA43)),ISNUMBER(SEARCH(" bloody caesar ",$AA43)))),"?","")))),"")</f>
        <v/>
      </c>
      <c r="S43" s="234" t="str">
        <f>IF(43=43,IF($B43="","",IF(E43="?",""&amp;"Céréales contenant du gluten","")&amp;IF(F43="?",IF(COUNTIF($E43:$E43,"~?")&gt;0,", ","")&amp;"Crustacés","")&amp;IF(G43="?",IF(COUNTIF($E43:$F43,"~?")&gt;0,", ","")&amp;"Œufs","")&amp;IF(H43="?",IF(COUNTIF($E43:$G43,"~?")&gt;0,", ","")&amp;"Poissons","")&amp;IF(I43="?",IF(COUNTIF($E43:$H43,"~?")&gt;0,", ","")&amp;"Arachides","")&amp;IF(J43="?",IF(COUNTIF($E43:$I43,"~?")&gt;0,", ","")&amp;"Soja","")&amp;IF(K43="?",IF(COUNTIF($E43:$J43,"~?")&gt;0,", ","")&amp;"Lait","")&amp;IF(L43="?",IF(COUNTIF($E43:$K43,"~?")&gt;0,", ","")&amp;"Fruits à coque","")&amp;IF(M43="?",IF(COUNTIF($E43:$L43,"~?")&gt;0,", ","")&amp;"Céleri","")&amp;IF(N43="?",IF(COUNTIF($E43:$M43,"~?")&gt;0,", ","")&amp;"Moutarde","")&amp;IF(O43="?",IF(COUNTIF($E43:$N43,"~?")&gt;0,", ","")&amp;"Sésame","")&amp;IF(P43="?",IF(COUNTIF($E43:$O43,"~?")&gt;0,", ","")&amp;"Sulfites","")&amp;IF(Q43="?",IF(COUNTIF($E43:$P43,"~?")&gt;0,", ","")&amp;"Lupin","")&amp;IF(R43="?",IF(COUNTIF($E43:$Q43,"~?")&gt;0,", ","")&amp;"Mollusques","")),"")</f>
        <v/>
      </c>
      <c r="U43" s="209" t="str">
        <f>IF(43=43,IF($B43="","",$B43),"")</f>
        <v>Mix cocktail prêt à l'emploi</v>
      </c>
      <c r="V43" s="209" t="str">
        <f>IF(43=43,LOWER(CLEAN(SUBSTITUTE(SUBSTITUTE(SUBSTITUTE(SUBSTITUTE($U43,CHAR(160)," ")," "," "),CHAR(10)," "),CHAR(13)," "))),"")</f>
        <v>mix cocktail prêt à l'emploi</v>
      </c>
      <c r="W43" s="209" t="str">
        <f>IF(43=43,SUBSTITUTE(SUBSTITUTE(SUBSTITUTE(SUBSTITUTE(SUBSTITUTE(SUBSTITUTE(SUBSTITUTE(SUBSTITUTE(SUBSTITUTE(SUBSTITUTE(SUBSTITUTE(SUBSTITUTE($V43,"œ","oe"),"æ","ae"),"à","a"),"á","a"),"â","a"),"ä","a"),"ã","a"),"ç","c"),"è","e"),"é","e"),"ê","e"),"ë","e"),"")</f>
        <v>mix cocktail pret a l'emploi</v>
      </c>
      <c r="X43" s="209" t="str">
        <f>IF(43=43,SUBSTITUTE(SUBSTITUTE(SUBSTITUTE(SUBSTITUTE(SUBSTITUTE(SUBSTITUTE(SUBSTITUTE(SUBSTITUTE(SUBSTITUTE(SUBSTITUTE(SUBSTITUTE(SUBSTITUTE(SUBSTITUTE(SUBSTITUTE(SUBSTITUTE(SUBSTITUTE($W43,"ì","i"),"í","i"),"î","i"),"ï","i"),"ñ","n"),"ò","o"),"ó","o"),"ô","o"),"ö","o"),"õ","o"),"ù","u"),"ú","u"),"û","u"),"ü","u"),"ý","y"),"ÿ","y"),"")</f>
        <v>mix cocktail pret a l'emploi</v>
      </c>
      <c r="Y43" s="209" t="str">
        <f>IF(43=43,SUBSTITUTE(SUBSTITUTE(SUBSTITUTE(SUBSTITUTE(SUBSTITUTE(SUBSTITUTE(SUBSTITUTE(SUBSTITUTE(SUBSTITUTE(SUBSTITUTE(SUBSTITUTE(SUBSTITUTE(SUBSTITUTE(SUBSTITUTE($X43,"’"," "),"`"," "),"–"," "),"—"," "),"-"," "),"'"," "),"/"," "),"_"," "),","," "),"."," "),"("," "),")"," "),";"," "),":"," "),"")</f>
        <v>mix cocktail pret a l emploi</v>
      </c>
      <c r="Z43" s="209" t="str">
        <f>IF(43=43,SUBSTITUTE(SUBSTITUTE(SUBSTITUTE(SUBSTITUTE(SUBSTITUTE(SUBSTITUTE(SUBSTITUTE(SUBSTITUTE(SUBSTITUTE(SUBSTITUTE(SUBSTITUTE(SUBSTITUTE(SUBSTITUTE(SUBSTITUTE(SUBSTITUTE($Y43,"!"," "),"?"," "),"+"," "),"*"," "),"&amp;"," "),"["," "),"]"," "),"{"," "),"}"," "),"%"," "),"="," "),"\"," "),"|"," "),"&lt;"," "),"&gt;"," "),"")</f>
        <v>mix cocktail pret a l emploi</v>
      </c>
      <c r="AA43" s="209" t="str">
        <f>IF(43=43," "&amp;TRIM(SUBSTITUTE(SUBSTITUTE(SUBSTITUTE(SUBSTITUTE(SUBSTITUTE(SUBSTITUTE($Z43,CHAR(34)," "),"  "," "),"  "," "),"  "," "),"  "," "),"  "," "))&amp;" ","")</f>
        <v xml:space="preserve"> mix cocktail pret a l emploi </v>
      </c>
      <c r="AB43" s="209">
        <f>IF(43=43,IF($U43="","",SUMPRODUCT(--ISNUMBER(SEARCH(" "&amp;$CR$2:$CR$101&amp;" ",$AD43)))),"")</f>
        <v>0</v>
      </c>
      <c r="AC43" s="209">
        <f>IF(43=43,IF($U43="","",SUMPRODUCT(--ISNUMBER(SEARCH(" "&amp;$CR$102:$CR$151&amp;" ",$AD43)))),"")</f>
        <v>0</v>
      </c>
      <c r="AD43" s="209" t="str">
        <f t="shared" si="1"/>
        <v xml:space="preserve"> mix cocktail pret a l emploi </v>
      </c>
      <c r="AE43" s="209">
        <f t="shared" si="2"/>
        <v>0</v>
      </c>
      <c r="AF43" s="209" t="str">
        <f>IF(43=43,IF($U43="","",IF(SUM(AB43:AC43)+SUMPRODUCT(--ISNUMBER(SEARCH(" "&amp;$CR$2418:$CR$2420&amp;" ",$AD43)))&gt;0,"X",IF(AE43&gt;0,"?",""))),"")</f>
        <v/>
      </c>
      <c r="AG43" s="209">
        <f>IF(43=43,IF($U43="","",SUMPRODUCT(--ISNUMBER(SEARCH(" "&amp;$CR$206:$CR$305&amp;" ",$AA43)))),"")</f>
        <v>0</v>
      </c>
      <c r="AH43" s="209">
        <f>IF(43=43,IF($U43="","",SUMPRODUCT(--ISNUMBER(SEARCH(" "&amp;$CR$306:$CR$340&amp;" ",$AA43)))),"")</f>
        <v>0</v>
      </c>
      <c r="AI43" s="209" t="str">
        <f>IF(43=43,IF($U43="","",IF((SUM(AG43:AH43))-(0)&gt;0,"X",IF((0)-(0)&gt;0,"?",""))),"")</f>
        <v/>
      </c>
      <c r="AJ43" s="209">
        <f>IF(43=43,IF($U43="","",SUMPRODUCT(--ISNUMBER(SEARCH(" "&amp;$CR$341:$CR$398&amp;" ",$AA43)))),"")</f>
        <v>0</v>
      </c>
      <c r="AK43" s="209">
        <f>IF(43=43,IF($U43="","",SUMPRODUCT(--ISNUMBER(SEARCH(" "&amp;$CR$399:$CR$426&amp;" ",$AL43)))+SUMPRODUCT(--ISNUMBER(SEARCH(" "&amp;$CR$2440:$CR$2453&amp;" ",$AL43)))),"")</f>
        <v>0</v>
      </c>
      <c r="AL43" s="209" t="str">
        <f>IF(43=43,IF($U43="","",SUBSTITUTE(SUBSTITUTE(SUBSTITUTE(SUBSTITUTE(SUBSTITUTE(SUBSTITUTE(SUBSTITUTE(SUBSTITUTE(SUBSTITUTE(SUBSTITUTE(SUBSTITUTE(SUBSTITUTE(SUBSTITUTE(SUBSTITUTE($AA43,"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mix cocktail pret a l emploi </v>
      </c>
      <c r="AM43" s="209" t="str">
        <f>IF(43=43,IF($U43="","",IF(AJ43&gt;0,"X",IF(AK43&gt;0,"?",""))),"")</f>
        <v/>
      </c>
      <c r="AN43" s="209">
        <f>IF(43=43,IF($U43="","",SUMPRODUCT(--ISNUMBER(SEARCH(" "&amp;$CR$436:$CR$535&amp;" ",$AX43)))),"")</f>
        <v>0</v>
      </c>
      <c r="AO43" s="209">
        <f>IF(43=43,IF($U43="","",SUMPRODUCT(--ISNUMBER(SEARCH(" "&amp;$CR$536:$CR$635&amp;" ",$AX43)))),"")</f>
        <v>0</v>
      </c>
      <c r="AP43" s="209">
        <f>IF(43=43,IF($U43="","",SUMPRODUCT(--ISNUMBER(SEARCH(" "&amp;$CR$636:$CR$735&amp;" ",$AX43)))),"")</f>
        <v>0</v>
      </c>
      <c r="AQ43" s="209">
        <f>IF(43=43,IF($U43="","",SUMPRODUCT(--ISNUMBER(SEARCH(" "&amp;$CR$736:$CR$835&amp;" ",$AX43)))),"")</f>
        <v>0</v>
      </c>
      <c r="AR43" s="209">
        <f>IF(43=43,IF($U43="","",SUMPRODUCT(--ISNUMBER(SEARCH(" "&amp;$CR$836:$CR$935&amp;" ",$AX43)))),"")</f>
        <v>0</v>
      </c>
      <c r="AS43" s="209">
        <f>IF(43=43,IF($U43="","",SUMPRODUCT(--ISNUMBER(SEARCH(" "&amp;$CR$936:$CR$1035&amp;" ",$AX43)))),"")</f>
        <v>0</v>
      </c>
      <c r="AT43" s="209">
        <f>IF(43=43,IF($U43="","",SUMPRODUCT(--ISNUMBER(SEARCH(" "&amp;$CR$1036:$CR$1135&amp;" ",$AX43)))),"")</f>
        <v>0</v>
      </c>
      <c r="AU43" s="209">
        <f>IF(43=43,IF($U43="","",SUMPRODUCT(--ISNUMBER(SEARCH(" "&amp;$CR$1136:$CR$1235&amp;" ",$AX43)))),"")</f>
        <v>0</v>
      </c>
      <c r="AV43" s="209">
        <f>IF(43=43,IF($U43="","",SUMPRODUCT(--ISNUMBER(SEARCH(" "&amp;$CR$1236:$CR$1335&amp;" ",$AX43)))),"")</f>
        <v>0</v>
      </c>
      <c r="AW43" s="209">
        <f>IF(43=43,IF($U43="","",SUMPRODUCT(--ISNUMBER(SEARCH(" "&amp;$CR$1336:$CR$1363&amp;" ",$AX43)))),"")</f>
        <v>0</v>
      </c>
      <c r="AX43" s="209" t="str">
        <f>IF(43=43,IF($U43="","",SUBSTITUTE(SUBSTITUTE(SUBSTITUTE(SUBSTITUTE(SUBSTITUTE(SUBSTITUTE(SUBSTITUTE(SUBSTITUTE(SUBSTITUTE($AA43,"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mix cocktail pret a l emploi </v>
      </c>
      <c r="AY43" s="209">
        <f>IF(43=43,IF($U43="","",SUMPRODUCT(--ISNUMBER(SEARCH(" "&amp;$CR$1373:$CR$1383&amp;" ",$AX43)))),"")</f>
        <v>0</v>
      </c>
      <c r="AZ43" s="209" t="str">
        <f>IF(43=43,IF($U43="","",IF(SUM(AN43:AW43)+SUMPRODUCT(--ISNUMBER(SEARCH(" "&amp;$CR$2421:$CR$2422&amp;" ",$AX43)))&gt;0,"X",IF(AY43&gt;0,"?",""))),"")</f>
        <v/>
      </c>
      <c r="BA43" s="209">
        <f>IF(43=43,IF($U43="","",SUMPRODUCT(--ISNUMBER(SEARCH(" "&amp;$CR$1384:$CR$1404&amp;" ",$AA43)))),"")</f>
        <v>0</v>
      </c>
      <c r="BB43" s="209" t="str">
        <f>IF(43=43,IF($U43="","",IF((BA43)-(0)&gt;0,"X",IF((0)-(0)&gt;0,"?",""))),"")</f>
        <v/>
      </c>
      <c r="BC43" s="209">
        <f>IF(43=43,IF($U43="","",SUMPRODUCT(--ISNUMBER(SEARCH(" "&amp;$CR$1405:$CR$1442&amp;" ",$BD43)))),"")</f>
        <v>0</v>
      </c>
      <c r="BD43" s="209" t="str">
        <f>IF(43=43,IF($U43="","",SUBSTITUTE(SUBSTITUTE($AA43," "&amp;$CR$1443&amp;" "," ")," "&amp;$CR$1444&amp;" "," ")),"")</f>
        <v xml:space="preserve"> mix cocktail pret a l emploi </v>
      </c>
      <c r="BE43" s="209">
        <f>IF(43=43,IF($U43="","",SUMPRODUCT(--ISNUMBER(SEARCH(" "&amp;$CR$1445:$CR$1455&amp;" ",$BD43)))),"")</f>
        <v>0</v>
      </c>
      <c r="BF43" s="209" t="str">
        <f>IF(43=43,IF($U43="","",IF(BC43&gt;0,"X",IF(BE43&gt;0,"?",""))),"")</f>
        <v/>
      </c>
      <c r="BG43" s="209">
        <f>IF(43=43,IF($U43="","",SUMPRODUCT(--ISNUMBER(SEARCH(" "&amp;$CR$1456:$CR$1555&amp;" ",$BJ43)))),"")</f>
        <v>0</v>
      </c>
      <c r="BH43" s="209">
        <f>IF(43=43,IF($U43="","",SUMPRODUCT(--ISNUMBER(SEARCH(" "&amp;$CR$1556:$CR$1655&amp;" ",$BJ43)))),"")</f>
        <v>0</v>
      </c>
      <c r="BI43" s="209">
        <f>IF(43=43,IF($U43="","",SUMPRODUCT(--ISNUMBER(SEARCH(" "&amp;$CR$1656:$CR$1739&amp;" ",$BJ43)))),"")</f>
        <v>0</v>
      </c>
      <c r="BJ43" s="209" t="str">
        <f>IF(43=43,IF($U43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43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mix cocktail pret a l emploi </v>
      </c>
      <c r="BK43" s="209">
        <f>IF(43=43,IF($U43="","",SUMPRODUCT(--ISNUMBER(SEARCH(" "&amp;$CR$1790:$CR$1869&amp;" ",$BL43)))+SUMPRODUCT(--ISNUMBER(SEARCH(" "&amp;$CR$2440:$CR$2453&amp;" ",$BL43)))),"")</f>
        <v>0</v>
      </c>
      <c r="BL43" s="209" t="str">
        <f>IF(43=43,IF($U43="","",SUBSTITUTE(SUBSTITUTE(SUBSTITUTE(SUBSTITUTE(SUBSTITUTE(SUBSTITUTE(SUBSTITUTE(SUBSTITUTE(SUBSTITUTE(SUBSTITUTE(SUBSTITUTE(SUBSTITUTE(SUBSTITUTE($BJ43,"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mix cocktail pret a l emploi </v>
      </c>
      <c r="BM43" s="209" t="str">
        <f>IF(43=43,IF($U43="","",IF(SUM(BG43:BI43)+SUMPRODUCT(--ISNUMBER(SEARCH(" "&amp;$CR$2423:$CR$2424&amp;" ",$BJ43)))&gt;0,"X",IF(BK43&gt;0,"?",""))),"")</f>
        <v/>
      </c>
      <c r="BN43" s="209">
        <f>IF(43=43,IF($U43="","",SUMPRODUCT(--ISNUMBER(SEARCH(" "&amp;$CR$1879:$CR$1936&amp;" ",$BO43)))),"")</f>
        <v>0</v>
      </c>
      <c r="BO43" s="209" t="str">
        <f>IF(43=43,IF($U43="","",SUBSTITUTE(SUBSTITUTE(SUBSTITUTE(SUBSTITUTE(SUBSTITUTE(SUBSTITUTE(SUBSTITUTE(SUBSTITUTE(SUBSTITUTE(SUBSTITUTE(SUBSTITUTE(SUBSTITUTE(SUBSTITUTE(SUBSTITUTE(SUBSTITUTE(SUBSTITUTE(SUBSTITUTE(SUBSTITUTE(SUBSTITUTE(SUBSTITUTE(SUBSTITUTE(SUBSTITUTE(SUBSTITUTE($AA43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mix cocktail pret a l emploi </v>
      </c>
      <c r="BP43" s="209">
        <f>IF(43=43,IF($U43="","",SUMPRODUCT(--ISNUMBER(SEARCH(" "&amp;$CR$1960:$CR$1976&amp;" ",$BO43)))),"")</f>
        <v>0</v>
      </c>
      <c r="BQ43" s="209" t="str">
        <f>IF(43=43,IF($U43="","",IF(BN43&gt;0,"X",IF(BP43&gt;0,"?",""))),"")</f>
        <v/>
      </c>
      <c r="BR43" s="209">
        <f>IF(43=43,IF($U43="","",SUMPRODUCT(--ISNUMBER(SEARCH(" "&amp;$CR$1977:$CR$1990&amp;" ",$AA43)))),"")</f>
        <v>0</v>
      </c>
      <c r="BS43" s="209">
        <f>IF(43=43,IF($U43="","",SUMPRODUCT(--ISNUMBER(SEARCH(" "&amp;$CR$1991:$CR$2005&amp;" ",$AA43)))),"")</f>
        <v>0</v>
      </c>
      <c r="BT43" s="209" t="str">
        <f>IF(43=43,IF($U43="","",IF((BR43)-(0)&gt;0,"X",IF((BS43)-(0)&gt;0,"?",""))),"")</f>
        <v/>
      </c>
      <c r="BU43" s="209">
        <f>IF(43=43,IF($U43="","",SUMPRODUCT(--ISNUMBER(SEARCH(" "&amp;$CR$2006:$CR$2023&amp;" ",$AA43)))),"")</f>
        <v>0</v>
      </c>
      <c r="BV43" s="209">
        <f>IF(43=43,IF($U43="","",SUMPRODUCT(--ISNUMBER(SEARCH(" "&amp;$CR$2024:$CR$2038&amp;" ",$AA43)))),"")</f>
        <v>0</v>
      </c>
      <c r="BW43" s="209" t="str">
        <f>IF(43=43,IF($U43="","",IF((BU43)-(0)&gt;0,"X",IF((BV43)-(0)&gt;0,"?",""))),"")</f>
        <v/>
      </c>
      <c r="BX43" s="209">
        <f>IF(43=43,IF($U43="","",SUMPRODUCT(--ISNUMBER(SEARCH(" "&amp;$CR$2039:$CR$2057&amp;" ",$AA43)))),"")</f>
        <v>0</v>
      </c>
      <c r="BY43" s="209">
        <f>IF(43=43,IF($U43="","",SUMPRODUCT(--ISNUMBER(SEARCH(" "&amp;$CR$2058:$CR$2072&amp;" ",$AA43)))),"")</f>
        <v>0</v>
      </c>
      <c r="BZ43" s="209" t="str">
        <f>IF(43=43,IF($U43="","",IF((BX43)-(0)&gt;0,"X",IF((BY43)-(0)&gt;0,"?",""))),"")</f>
        <v/>
      </c>
      <c r="CA43" s="209">
        <f>IF(43=43,IF($U43="","",SUMPRODUCT(--ISNUMBER(SEARCH(" "&amp;$CR$2073:$CR$2093&amp;" ",$AA43)))),"")</f>
        <v>0</v>
      </c>
      <c r="CB43" s="209">
        <f>IF(43=43,IF($U43="","",SUMPRODUCT(--ISNUMBER(SEARCH(" "&amp;$CR$2094:$CR$2133&amp;" ",SUBSTITUTE(SUBSTITUTE($AA43," "&amp;$CR$1367&amp;" "," ")," "&amp;$CR$1366&amp;" "," "))))+--ISNUMBER(SEARCH("poiré",$V43))),"")</f>
        <v>0</v>
      </c>
      <c r="CC43" s="209" t="str">
        <f>IF(43=43,IF($U43="","",IF(OR(CA43&gt;0,ISNUMBER(SEARCH(" vinaigre de vin ",$AA43)),ISNUMBER(SEARCH(" vinaigre au vin ",$AA43))),"X",IF(CB43&gt;0,"?",""))),"")</f>
        <v/>
      </c>
      <c r="CD43" s="209">
        <f>IF(43=43,IF($U43="","",SUMPRODUCT(--ISNUMBER(SEARCH(" "&amp;$CR$2134:$CR$2146&amp;" ",$AA43)))),"")</f>
        <v>0</v>
      </c>
      <c r="CE43" s="209">
        <f>IF(43=43,IF($U43="","",SUMPRODUCT(--ISNUMBER(SEARCH(" "&amp;$CR$2147:$CR$2152&amp;" ",$AA43)))),"")</f>
        <v>0</v>
      </c>
      <c r="CF43" s="209" t="str">
        <f>IF(43=43,IF($U43="","",IF((CD43)-(0)&gt;0,"X",IF((CE43)-(0)&gt;0,"?",""))),"")</f>
        <v/>
      </c>
      <c r="CG43" s="209">
        <f>IF(43=43,IF($U43="","",SUMPRODUCT(--ISNUMBER(SEARCH(" "&amp;$CR$2153:$CR$2252&amp;" ",$CJ43)))),"")</f>
        <v>0</v>
      </c>
      <c r="CH43" s="209">
        <f>IF(43=43,IF($U43="","",SUMPRODUCT(--ISNUMBER(SEARCH(" "&amp;$CR$2253:$CR$2352&amp;" ",$CJ43)))),"")</f>
        <v>0</v>
      </c>
      <c r="CI43" s="209">
        <f>IF(43=43,IF($U43="","",SUMPRODUCT(--ISNUMBER(SEARCH(" "&amp;$CR$2353:$CR$2395&amp;" ",$CJ43)))),"")</f>
        <v>0</v>
      </c>
      <c r="CJ43" s="209" t="str">
        <f>IF(43=43,IF($U43="","",SUBSTITUTE(SUBSTITUTE(SUBSTITUTE(SUBSTITUTE(SUBSTITUTE(SUBSTITUTE(SUBSTITUTE(SUBSTITUTE(SUBSTITUTE(SUBSTITUTE(SUBSTITUTE(SUBSTITUTE(SUBSTITUTE(SUBSTITUTE(SUBSTITUTE(SUBSTITUTE($AA43,"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mix cocktail pret a l emploi </v>
      </c>
      <c r="CK43" s="209">
        <f>IF(43=43,IF($U43="","",SUMPRODUCT(--ISNUMBER(SEARCH(" "&amp;$CR$2412:$CR$2416&amp;" ",$CJ43)))),"")</f>
        <v>0</v>
      </c>
      <c r="CL43" s="209" t="str">
        <f>IF(43=43,IF($U43="","",IF(SUM(CG43:CI43)&gt;0,"X",IF(CK43&gt;0,"?",""))),"")</f>
        <v/>
      </c>
      <c r="CM43" s="210"/>
      <c r="CN43" s="213" t="s">
        <v>1061</v>
      </c>
      <c r="CO43" s="213" t="s">
        <v>878</v>
      </c>
      <c r="CP43" s="213" t="s">
        <v>879</v>
      </c>
      <c r="CQ43" s="213" t="s">
        <v>1062</v>
      </c>
      <c r="CR43" s="213" t="s">
        <v>1062</v>
      </c>
      <c r="CS43" s="213" t="s">
        <v>881</v>
      </c>
      <c r="CT43" s="213" t="s">
        <v>882</v>
      </c>
      <c r="CU43" s="213" t="s">
        <v>883</v>
      </c>
      <c r="CV43" s="214" t="s">
        <v>884</v>
      </c>
      <c r="CX43" s="212">
        <v>1</v>
      </c>
    </row>
    <row r="44" spans="1:102" ht="21" customHeight="1">
      <c r="A44" s="229">
        <v>38</v>
      </c>
      <c r="B44" s="230" t="s">
        <v>6607</v>
      </c>
      <c r="C44" s="231" t="str">
        <f t="shared" si="0"/>
        <v>Worcestershire sauce ?</v>
      </c>
      <c r="D44" s="232" t="str">
        <f>IF(44=44,IF($B44="","",IF(E44="X",""&amp;"Céréales contenant du gluten","")&amp;IF(F44="X",IF(COUNTIF($E44:$E44,"X")&gt;0,", ","")&amp;"Crustacés","")&amp;IF(G44="X",IF(COUNTIF($E44:$F44,"X")&gt;0,", ","")&amp;"Œufs","")&amp;IF(H44="X",IF(COUNTIF($E44:$G44,"X")&gt;0,", ","")&amp;"Poissons","")&amp;IF(I44="X",IF(COUNTIF($E44:$H44,"X")&gt;0,", ","")&amp;"Arachides","")&amp;IF(J44="X",IF(COUNTIF($E44:$I44,"X")&gt;0,", ","")&amp;"Soja","")&amp;IF(K44="X",IF(COUNTIF($E44:$J44,"X")&gt;0,", ","")&amp;"Lait","")&amp;IF(L44="X",IF(COUNTIF($E44:$K44,"X")&gt;0,", ","")&amp;"Fruits à coque","")&amp;IF(M44="X",IF(COUNTIF($E44:$L44,"X")&gt;0,", ","")&amp;"Céleri","")&amp;IF(N44="X",IF(COUNTIF($E44:$M44,"X")&gt;0,", ","")&amp;"Moutarde","")&amp;IF(O44="X",IF(COUNTIF($E44:$N44,"X")&gt;0,", ","")&amp;"Sésame","")&amp;IF(P44="X",IF(COUNTIF($E44:$O44,"X")&gt;0,", ","")&amp;"Sulfites","")&amp;IF(Q44="X",IF(COUNTIF($E44:$P44,"X")&gt;0,", ","")&amp;"Lupin","")&amp;IF(R44="X",IF(COUNTIF($E44:$Q44,"X")&gt;0,", ","")&amp;"Mollusques","")),"")</f>
        <v/>
      </c>
      <c r="E44" s="233" t="str">
        <f>IF(44=44,IF($B44="","",IF(OR(ISNUMBER(SEARCH(" biere sans gluten ",$AA44)),ISNUMBER(SEARCH(" gluten free beer ",$AA44)),ISNUMBER(SEARCH(" beer gluten free ",$AA44))),"",IF(AF44="X","X",IF(OR(AF44="?",OR(ISNUMBER(SEARCH(" worcestershire ",$AA44)),ISNUMBER(SEARCH(" bloody mary ",$AA44)))),"?","")))),"")</f>
        <v>?</v>
      </c>
      <c r="F44" s="233" t="str">
        <f>IF(44=44,IF($B44="","",AI44),"")</f>
        <v/>
      </c>
      <c r="G44" s="233" t="str">
        <f>IF(44=44,IF($B44="","",IF(OR(TRIM($AA44)="puree pate d amande",TRIM($AA44)="pate puree d amande",TRIM($AA44)="puree d amande",TRIM($AA44)="pate d amande",TRIM($AA44)="pate puree de noisette",TRIM($AA44)="puree pate de noisette",TRIM($AA44)="puree de noisette",TRIM($AA44)="pate de noisette"),"",IF(OR(AM44="X",OR(ISNUMBER(SEARCH(" macaron ",$AA44)),ISNUMBER(SEARCH(" egg nog ",$AA44)),ISNUMBER(SEARCH(" eggnog ",$AA44)))),"X",IF(OR(AM44="?",OR(ISNUMBER(SEARCH(" biscuit decoratif ",$AA44)),ISNUMBER(SEARCH(" whisky sour ",$AA44)),ISNUMBER(SEARCH(" whiskey sour ",$AA44)),ISNUMBER(SEARCH(" amaretto sour ",$AA44)),ISNUMBER(SEARCH(" pisco sour ",$AA44)),ISNUMBER(SEARCH(" clover club ",$AA44)),ISNUMBER(SEARCH(" ramos gin fizz ",$AA44)))),"?","")))),"")</f>
        <v/>
      </c>
      <c r="H44" s="233" t="str">
        <f>IF(44=44,IF($B44="","",IF(ISNUMBER(SEARCH(" colin ",$AA44)),"X",IF(AZ44="X","X",IF(OR(AZ44="?",OR(ISNUMBER(SEARCH(" worcestershire ",$AA44)),ISNUMBER(SEARCH(" bloody mary ",$AA44)))),"?","")))),"")</f>
        <v>?</v>
      </c>
      <c r="I44" s="233" t="str">
        <f>IF(44=44,IF($B44="","",BB44),"")</f>
        <v/>
      </c>
      <c r="J44" s="233" t="str">
        <f>IF(44=44,IF($B44="","",BF44),"")</f>
        <v/>
      </c>
      <c r="K44" s="233" t="str">
        <f>IF(44=44,IF($B44="","",IF(OR(OR(TRIM($AA44)="puree pate d amande",TRIM($AA44)="pate puree d amande",TRIM($AA44)="puree d amande",TRIM($AA44)="pate d amande",TRIM($AA44)="pate puree de noisette",TRIM($AA44)="puree pate de noisette",TRIM($AA44)="puree de noisette",TRIM($AA44)="pate de noisette"),OR(TRIM($AA44)="beurre puree d arachide",TRIM($AA44)="beurre d arachide",TRIM($AA44)="puree d arachide"),OR(TRIM($AA44)="tahini puree de sesame",TRIM($AA44)="tahini",TRIM($AA44)="puree de sesame")),"",IF(OR(TRIM($AA44)="creme de cassis",TRIM($AA44)="creme de menthe",TRIM($AA44)="creme de cacao",TRIM($AA44)="creme de mure",TRIM($AA44)="creme de framboise",TRIM($AA44)="creme de peche",TRIM($AA44)="creme de banane",TRIM($AA44)="liqueur creme de coco",TRIM($AA44)="creme de coco",TRIM($AA44)="spiritueux aromatise arrange creme de spiritueux"),"?",IF(OR(BM44="X",OR(ISNUMBER(SEARCH(" baileys ",$AA44)),ISNUMBER(SEARCH(" irish cream ",$AA44)),ISNUMBER(SEARCH(" creme de whisky ",$AA44)))),"X",IF(OR(BM44="?",OR(OR(TRIM($AA44)="creme de cassis",TRIM($AA44)="creme de menthe",TRIM($AA44)="creme de cacao",TRIM($AA44)="creme de mure",TRIM($AA44)="creme de framboise",TRIM($AA44)="creme de peche",TRIM($AA44)="creme de banane",TRIM($AA44)="liqueur creme de coco",TRIM($AA44)="creme de coco",TRIM($AA44)="spiritueux aromatise arrange creme de spiritueux"),ISNUMBER(SEARCH(" advocaat ",$AA44)),ISNUMBER(SEARCH(" liqueur aux oeufs ",$AA44)),ISNUMBER(SEARCH(" liqueur de chocolat ",$AA44)),ISNUMBER(SEARCH(" liqueur de caramel ",$AA44)),ISNUMBER(SEARCH(" sauce nappage chocolat ",$AA44)),ISNUMBER(SEARCH(" biscuit decoratif ",$AA44)),ISNUMBER(SEARCH(" white russian ",$AA44)),ISNUMBER(SEARCH(" grasshopper ",$AA44)),ISNUMBER(SEARCH(" irish coffee ",$AA44)),ISNUMBER(SEARCH(" ramos gin fizz ",$AA44)),ISNUMBER(SEARCH(" egg nog ",$AA44)),ISNUMBER(SEARCH(" eggnog ",$AA44)))),"?",""))))),"")</f>
        <v/>
      </c>
      <c r="L44" s="233" t="str">
        <f>IF(44=44,IF($B44="","",IF(OR(BQ44="X",OR(OR(TRIM($AA44)="puree pate d amande",TRIM($AA44)="pate puree d amande",TRIM($AA44)="puree d amande",TRIM($AA44)="pate d amande",TRIM($AA44)="pate puree de noisette",TRIM($AA44)="puree pate de noisette",TRIM($AA44)="puree de noisette",TRIM($AA44)="pate de noisette"),ISNUMBER(SEARCH(" macaron ",$AA44)),TRIM($AA44)="fruits a coque")),"X",IF(OR(BQ44="?",OR(ISNUMBER(SEARCH(" sirop d orgeat ",$AA44)),ISNUMBER(SEARCH(" orgeat ",$AA44)),ISNUMBER(SEARCH(" amaretto ",$AA44)))),"?",""))),"")</f>
        <v/>
      </c>
      <c r="M44" s="233" t="str">
        <f>IF(44=44,IF($B44="","",IF(OR(OR(TRIM($AA44)="puree pate d amande",TRIM($AA44)="pate puree d amande",TRIM($AA44)="puree d amande",TRIM($AA44)="pate d amande",TRIM($AA44)="pate puree de noisette",TRIM($AA44)="puree pate de noisette",TRIM($AA44)="puree de noisette",TRIM($AA44)="pate de noisette"),OR(TRIM($AA44)="tahini puree de sesame",TRIM($AA44)="tahini",TRIM($AA44)="puree de sesame")),"",IF(BT44="X","X",IF(OR(BT44="?",ISNUMBER(SEARCH(" bloody mary ",$AA44))),"?","")))),"")</f>
        <v/>
      </c>
      <c r="N44" s="233" t="str">
        <f>IF(44=44,IF($B44="","",IF(OR(OR(TRIM($AA44)="puree pate d amande",TRIM($AA44)="pate puree d amande",TRIM($AA44)="puree d amande",TRIM($AA44)="pate d amande",TRIM($AA44)="pate puree de noisette",TRIM($AA44)="puree pate de noisette",TRIM($AA44)="puree de noisette",TRIM($AA44)="pate de noisette"),OR(TRIM($AA44)="tahini puree de sesame",TRIM($AA44)="tahini",TRIM($AA44)="puree de sesame")),"",IF(BW44="X","X",IF(OR(BW44="?",ISNUMBER(SEARCH(" bloody mary ",$AA44))),"?","")))),"")</f>
        <v/>
      </c>
      <c r="O44" s="233" t="str">
        <f>IF(44=44,IF($B44="","",BZ44),"")</f>
        <v/>
      </c>
      <c r="P44" s="233" t="str">
        <f>IF(44=44,IF($B44="","",CC44),"")</f>
        <v/>
      </c>
      <c r="Q44" s="233" t="str">
        <f>IF(44=44,IF($B44="","",CF44),"")</f>
        <v/>
      </c>
      <c r="R44" s="233" t="str">
        <f>IF(44=44,IF($B44="","",IF(TRIM($AA44)="fruits a coque","",IF(CL44="X","X",IF(OR(CL44="?",OR(ISNUMBER(SEARCH(" clamato ",$AA44)),ISNUMBER(SEARCH(" bloody caesar ",$AA44)))),"?","")))),"")</f>
        <v/>
      </c>
      <c r="S44" s="234" t="str">
        <f>IF(44=44,IF($B44="","",IF(E44="?",""&amp;"Céréales contenant du gluten","")&amp;IF(F44="?",IF(COUNTIF($E44:$E44,"~?")&gt;0,", ","")&amp;"Crustacés","")&amp;IF(G44="?",IF(COUNTIF($E44:$F44,"~?")&gt;0,", ","")&amp;"Œufs","")&amp;IF(H44="?",IF(COUNTIF($E44:$G44,"~?")&gt;0,", ","")&amp;"Poissons","")&amp;IF(I44="?",IF(COUNTIF($E44:$H44,"~?")&gt;0,", ","")&amp;"Arachides","")&amp;IF(J44="?",IF(COUNTIF($E44:$I44,"~?")&gt;0,", ","")&amp;"Soja","")&amp;IF(K44="?",IF(COUNTIF($E44:$J44,"~?")&gt;0,", ","")&amp;"Lait","")&amp;IF(L44="?",IF(COUNTIF($E44:$K44,"~?")&gt;0,", ","")&amp;"Fruits à coque","")&amp;IF(M44="?",IF(COUNTIF($E44:$L44,"~?")&gt;0,", ","")&amp;"Céleri","")&amp;IF(N44="?",IF(COUNTIF($E44:$M44,"~?")&gt;0,", ","")&amp;"Moutarde","")&amp;IF(O44="?",IF(COUNTIF($E44:$N44,"~?")&gt;0,", ","")&amp;"Sésame","")&amp;IF(P44="?",IF(COUNTIF($E44:$O44,"~?")&gt;0,", ","")&amp;"Sulfites","")&amp;IF(Q44="?",IF(COUNTIF($E44:$P44,"~?")&gt;0,", ","")&amp;"Lupin","")&amp;IF(R44="?",IF(COUNTIF($E44:$Q44,"~?")&gt;0,", ","")&amp;"Mollusques","")),"")</f>
        <v>Céréales contenant du gluten, Poissons</v>
      </c>
      <c r="U44" s="209" t="str">
        <f>IF(44=44,IF($B44="","",$B44),"")</f>
        <v>Worcestershire sauce</v>
      </c>
      <c r="V44" s="209" t="str">
        <f>IF(44=44,LOWER(CLEAN(SUBSTITUTE(SUBSTITUTE(SUBSTITUTE(SUBSTITUTE($U44,CHAR(160)," ")," "," "),CHAR(10)," "),CHAR(13)," "))),"")</f>
        <v>worcestershire sauce</v>
      </c>
      <c r="W44" s="209" t="str">
        <f>IF(44=44,SUBSTITUTE(SUBSTITUTE(SUBSTITUTE(SUBSTITUTE(SUBSTITUTE(SUBSTITUTE(SUBSTITUTE(SUBSTITUTE(SUBSTITUTE(SUBSTITUTE(SUBSTITUTE(SUBSTITUTE($V44,"œ","oe"),"æ","ae"),"à","a"),"á","a"),"â","a"),"ä","a"),"ã","a"),"ç","c"),"è","e"),"é","e"),"ê","e"),"ë","e"),"")</f>
        <v>worcestershire sauce</v>
      </c>
      <c r="X44" s="209" t="str">
        <f>IF(44=44,SUBSTITUTE(SUBSTITUTE(SUBSTITUTE(SUBSTITUTE(SUBSTITUTE(SUBSTITUTE(SUBSTITUTE(SUBSTITUTE(SUBSTITUTE(SUBSTITUTE(SUBSTITUTE(SUBSTITUTE(SUBSTITUTE(SUBSTITUTE(SUBSTITUTE(SUBSTITUTE($W44,"ì","i"),"í","i"),"î","i"),"ï","i"),"ñ","n"),"ò","o"),"ó","o"),"ô","o"),"ö","o"),"õ","o"),"ù","u"),"ú","u"),"û","u"),"ü","u"),"ý","y"),"ÿ","y"),"")</f>
        <v>worcestershire sauce</v>
      </c>
      <c r="Y44" s="209" t="str">
        <f>IF(44=44,SUBSTITUTE(SUBSTITUTE(SUBSTITUTE(SUBSTITUTE(SUBSTITUTE(SUBSTITUTE(SUBSTITUTE(SUBSTITUTE(SUBSTITUTE(SUBSTITUTE(SUBSTITUTE(SUBSTITUTE(SUBSTITUTE(SUBSTITUTE($X44,"’"," "),"`"," "),"–"," "),"—"," "),"-"," "),"'"," "),"/"," "),"_"," "),","," "),"."," "),"("," "),")"," "),";"," "),":"," "),"")</f>
        <v>worcestershire sauce</v>
      </c>
      <c r="Z44" s="209" t="str">
        <f>IF(44=44,SUBSTITUTE(SUBSTITUTE(SUBSTITUTE(SUBSTITUTE(SUBSTITUTE(SUBSTITUTE(SUBSTITUTE(SUBSTITUTE(SUBSTITUTE(SUBSTITUTE(SUBSTITUTE(SUBSTITUTE(SUBSTITUTE(SUBSTITUTE(SUBSTITUTE($Y44,"!"," "),"?"," "),"+"," "),"*"," "),"&amp;"," "),"["," "),"]"," "),"{"," "),"}"," "),"%"," "),"="," "),"\"," "),"|"," "),"&lt;"," "),"&gt;"," "),"")</f>
        <v>worcestershire sauce</v>
      </c>
      <c r="AA44" s="209" t="str">
        <f>IF(44=44," "&amp;TRIM(SUBSTITUTE(SUBSTITUTE(SUBSTITUTE(SUBSTITUTE(SUBSTITUTE(SUBSTITUTE($Z44,CHAR(34)," "),"  "," "),"  "," "),"  "," "),"  "," "),"  "," "))&amp;" ","")</f>
        <v xml:space="preserve"> worcestershire sauce </v>
      </c>
      <c r="AB44" s="209">
        <f>IF(44=44,IF($U44="","",SUMPRODUCT(--ISNUMBER(SEARCH(" "&amp;$CR$2:$CR$101&amp;" ",$AD44)))),"")</f>
        <v>0</v>
      </c>
      <c r="AC44" s="209">
        <f>IF(44=44,IF($U44="","",SUMPRODUCT(--ISNUMBER(SEARCH(" "&amp;$CR$102:$CR$151&amp;" ",$AD44)))),"")</f>
        <v>0</v>
      </c>
      <c r="AD44" s="209" t="str">
        <f t="shared" si="1"/>
        <v xml:space="preserve"> worcestershire sauce </v>
      </c>
      <c r="AE44" s="209">
        <f t="shared" si="2"/>
        <v>0</v>
      </c>
      <c r="AF44" s="209" t="str">
        <f>IF(44=44,IF($U44="","",IF(SUM(AB44:AC44)+SUMPRODUCT(--ISNUMBER(SEARCH(" "&amp;$CR$2418:$CR$2420&amp;" ",$AD44)))&gt;0,"X",IF(AE44&gt;0,"?",""))),"")</f>
        <v/>
      </c>
      <c r="AG44" s="209">
        <f>IF(44=44,IF($U44="","",SUMPRODUCT(--ISNUMBER(SEARCH(" "&amp;$CR$206:$CR$305&amp;" ",$AA44)))),"")</f>
        <v>0</v>
      </c>
      <c r="AH44" s="209">
        <f>IF(44=44,IF($U44="","",SUMPRODUCT(--ISNUMBER(SEARCH(" "&amp;$CR$306:$CR$340&amp;" ",$AA44)))),"")</f>
        <v>0</v>
      </c>
      <c r="AI44" s="209" t="str">
        <f>IF(44=44,IF($U44="","",IF((SUM(AG44:AH44))-(0)&gt;0,"X",IF((0)-(0)&gt;0,"?",""))),"")</f>
        <v/>
      </c>
      <c r="AJ44" s="209">
        <f>IF(44=44,IF($U44="","",SUMPRODUCT(--ISNUMBER(SEARCH(" "&amp;$CR$341:$CR$398&amp;" ",$AA44)))),"")</f>
        <v>0</v>
      </c>
      <c r="AK44" s="209">
        <f>IF(44=44,IF($U44="","",SUMPRODUCT(--ISNUMBER(SEARCH(" "&amp;$CR$399:$CR$426&amp;" ",$AL44)))+SUMPRODUCT(--ISNUMBER(SEARCH(" "&amp;$CR$2440:$CR$2453&amp;" ",$AL44)))),"")</f>
        <v>0</v>
      </c>
      <c r="AL44" s="209" t="str">
        <f>IF(44=44,IF($U44="","",SUBSTITUTE(SUBSTITUTE(SUBSTITUTE(SUBSTITUTE(SUBSTITUTE(SUBSTITUTE(SUBSTITUTE(SUBSTITUTE(SUBSTITUTE(SUBSTITUTE(SUBSTITUTE(SUBSTITUTE(SUBSTITUTE(SUBSTITUTE($AA44,"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worcestershire sauce </v>
      </c>
      <c r="AM44" s="209" t="str">
        <f>IF(44=44,IF($U44="","",IF(AJ44&gt;0,"X",IF(AK44&gt;0,"?",""))),"")</f>
        <v/>
      </c>
      <c r="AN44" s="209">
        <f>IF(44=44,IF($U44="","",SUMPRODUCT(--ISNUMBER(SEARCH(" "&amp;$CR$436:$CR$535&amp;" ",$AX44)))),"")</f>
        <v>0</v>
      </c>
      <c r="AO44" s="209">
        <f>IF(44=44,IF($U44="","",SUMPRODUCT(--ISNUMBER(SEARCH(" "&amp;$CR$536:$CR$635&amp;" ",$AX44)))),"")</f>
        <v>0</v>
      </c>
      <c r="AP44" s="209">
        <f>IF(44=44,IF($U44="","",SUMPRODUCT(--ISNUMBER(SEARCH(" "&amp;$CR$636:$CR$735&amp;" ",$AX44)))),"")</f>
        <v>0</v>
      </c>
      <c r="AQ44" s="209">
        <f>IF(44=44,IF($U44="","",SUMPRODUCT(--ISNUMBER(SEARCH(" "&amp;$CR$736:$CR$835&amp;" ",$AX44)))),"")</f>
        <v>0</v>
      </c>
      <c r="AR44" s="209">
        <f>IF(44=44,IF($U44="","",SUMPRODUCT(--ISNUMBER(SEARCH(" "&amp;$CR$836:$CR$935&amp;" ",$AX44)))),"")</f>
        <v>0</v>
      </c>
      <c r="AS44" s="209">
        <f>IF(44=44,IF($U44="","",SUMPRODUCT(--ISNUMBER(SEARCH(" "&amp;$CR$936:$CR$1035&amp;" ",$AX44)))),"")</f>
        <v>0</v>
      </c>
      <c r="AT44" s="209">
        <f>IF(44=44,IF($U44="","",SUMPRODUCT(--ISNUMBER(SEARCH(" "&amp;$CR$1036:$CR$1135&amp;" ",$AX44)))),"")</f>
        <v>0</v>
      </c>
      <c r="AU44" s="209">
        <f>IF(44=44,IF($U44="","",SUMPRODUCT(--ISNUMBER(SEARCH(" "&amp;$CR$1136:$CR$1235&amp;" ",$AX44)))),"")</f>
        <v>0</v>
      </c>
      <c r="AV44" s="209">
        <f>IF(44=44,IF($U44="","",SUMPRODUCT(--ISNUMBER(SEARCH(" "&amp;$CR$1236:$CR$1335&amp;" ",$AX44)))),"")</f>
        <v>0</v>
      </c>
      <c r="AW44" s="209">
        <f>IF(44=44,IF($U44="","",SUMPRODUCT(--ISNUMBER(SEARCH(" "&amp;$CR$1336:$CR$1363&amp;" ",$AX44)))),"")</f>
        <v>0</v>
      </c>
      <c r="AX44" s="209" t="str">
        <f>IF(44=44,IF($U44="","",SUBSTITUTE(SUBSTITUTE(SUBSTITUTE(SUBSTITUTE(SUBSTITUTE(SUBSTITUTE(SUBSTITUTE(SUBSTITUTE(SUBSTITUTE($AA44,"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worcestershire sauce </v>
      </c>
      <c r="AY44" s="209">
        <f>IF(44=44,IF($U44="","",SUMPRODUCT(--ISNUMBER(SEARCH(" "&amp;$CR$1373:$CR$1383&amp;" ",$AX44)))),"")</f>
        <v>0</v>
      </c>
      <c r="AZ44" s="209" t="str">
        <f>IF(44=44,IF($U44="","",IF(SUM(AN44:AW44)+SUMPRODUCT(--ISNUMBER(SEARCH(" "&amp;$CR$2421:$CR$2422&amp;" ",$AX44)))&gt;0,"X",IF(AY44&gt;0,"?",""))),"")</f>
        <v/>
      </c>
      <c r="BA44" s="209">
        <f>IF(44=44,IF($U44="","",SUMPRODUCT(--ISNUMBER(SEARCH(" "&amp;$CR$1384:$CR$1404&amp;" ",$AA44)))),"")</f>
        <v>0</v>
      </c>
      <c r="BB44" s="209" t="str">
        <f>IF(44=44,IF($U44="","",IF((BA44)-(0)&gt;0,"X",IF((0)-(0)&gt;0,"?",""))),"")</f>
        <v/>
      </c>
      <c r="BC44" s="209">
        <f>IF(44=44,IF($U44="","",SUMPRODUCT(--ISNUMBER(SEARCH(" "&amp;$CR$1405:$CR$1442&amp;" ",$BD44)))),"")</f>
        <v>0</v>
      </c>
      <c r="BD44" s="209" t="str">
        <f>IF(44=44,IF($U44="","",SUBSTITUTE(SUBSTITUTE($AA44," "&amp;$CR$1443&amp;" "," ")," "&amp;$CR$1444&amp;" "," ")),"")</f>
        <v xml:space="preserve"> worcestershire sauce </v>
      </c>
      <c r="BE44" s="209">
        <f>IF(44=44,IF($U44="","",SUMPRODUCT(--ISNUMBER(SEARCH(" "&amp;$CR$1445:$CR$1455&amp;" ",$BD44)))),"")</f>
        <v>0</v>
      </c>
      <c r="BF44" s="209" t="str">
        <f>IF(44=44,IF($U44="","",IF(BC44&gt;0,"X",IF(BE44&gt;0,"?",""))),"")</f>
        <v/>
      </c>
      <c r="BG44" s="209">
        <f>IF(44=44,IF($U44="","",SUMPRODUCT(--ISNUMBER(SEARCH(" "&amp;$CR$1456:$CR$1555&amp;" ",$BJ44)))),"")</f>
        <v>0</v>
      </c>
      <c r="BH44" s="209">
        <f>IF(44=44,IF($U44="","",SUMPRODUCT(--ISNUMBER(SEARCH(" "&amp;$CR$1556:$CR$1655&amp;" ",$BJ44)))),"")</f>
        <v>0</v>
      </c>
      <c r="BI44" s="209">
        <f>IF(44=44,IF($U44="","",SUMPRODUCT(--ISNUMBER(SEARCH(" "&amp;$CR$1656:$CR$1739&amp;" ",$BJ44)))),"")</f>
        <v>0</v>
      </c>
      <c r="BJ44" s="209" t="str">
        <f>IF(44=44,IF($U44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44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worcestershire sauce </v>
      </c>
      <c r="BK44" s="209">
        <f>IF(44=44,IF($U44="","",SUMPRODUCT(--ISNUMBER(SEARCH(" "&amp;$CR$1790:$CR$1869&amp;" ",$BL44)))+SUMPRODUCT(--ISNUMBER(SEARCH(" "&amp;$CR$2440:$CR$2453&amp;" ",$BL44)))),"")</f>
        <v>0</v>
      </c>
      <c r="BL44" s="209" t="str">
        <f>IF(44=44,IF($U44="","",SUBSTITUTE(SUBSTITUTE(SUBSTITUTE(SUBSTITUTE(SUBSTITUTE(SUBSTITUTE(SUBSTITUTE(SUBSTITUTE(SUBSTITUTE(SUBSTITUTE(SUBSTITUTE(SUBSTITUTE(SUBSTITUTE($BJ44,"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worcestershire sauce </v>
      </c>
      <c r="BM44" s="209" t="str">
        <f>IF(44=44,IF($U44="","",IF(SUM(BG44:BI44)+SUMPRODUCT(--ISNUMBER(SEARCH(" "&amp;$CR$2423:$CR$2424&amp;" ",$BJ44)))&gt;0,"X",IF(BK44&gt;0,"?",""))),"")</f>
        <v/>
      </c>
      <c r="BN44" s="209">
        <f>IF(44=44,IF($U44="","",SUMPRODUCT(--ISNUMBER(SEARCH(" "&amp;$CR$1879:$CR$1936&amp;" ",$BO44)))),"")</f>
        <v>0</v>
      </c>
      <c r="BO44" s="209" t="str">
        <f>IF(44=44,IF($U44="","",SUBSTITUTE(SUBSTITUTE(SUBSTITUTE(SUBSTITUTE(SUBSTITUTE(SUBSTITUTE(SUBSTITUTE(SUBSTITUTE(SUBSTITUTE(SUBSTITUTE(SUBSTITUTE(SUBSTITUTE(SUBSTITUTE(SUBSTITUTE(SUBSTITUTE(SUBSTITUTE(SUBSTITUTE(SUBSTITUTE(SUBSTITUTE(SUBSTITUTE(SUBSTITUTE(SUBSTITUTE(SUBSTITUTE($AA44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worcestershire sauce </v>
      </c>
      <c r="BP44" s="209">
        <f>IF(44=44,IF($U44="","",SUMPRODUCT(--ISNUMBER(SEARCH(" "&amp;$CR$1960:$CR$1976&amp;" ",$BO44)))),"")</f>
        <v>0</v>
      </c>
      <c r="BQ44" s="209" t="str">
        <f>IF(44=44,IF($U44="","",IF(BN44&gt;0,"X",IF(BP44&gt;0,"?",""))),"")</f>
        <v/>
      </c>
      <c r="BR44" s="209">
        <f>IF(44=44,IF($U44="","",SUMPRODUCT(--ISNUMBER(SEARCH(" "&amp;$CR$1977:$CR$1990&amp;" ",$AA44)))),"")</f>
        <v>0</v>
      </c>
      <c r="BS44" s="209">
        <f>IF(44=44,IF($U44="","",SUMPRODUCT(--ISNUMBER(SEARCH(" "&amp;$CR$1991:$CR$2005&amp;" ",$AA44)))),"")</f>
        <v>0</v>
      </c>
      <c r="BT44" s="209" t="str">
        <f>IF(44=44,IF($U44="","",IF((BR44)-(0)&gt;0,"X",IF((BS44)-(0)&gt;0,"?",""))),"")</f>
        <v/>
      </c>
      <c r="BU44" s="209">
        <f>IF(44=44,IF($U44="","",SUMPRODUCT(--ISNUMBER(SEARCH(" "&amp;$CR$2006:$CR$2023&amp;" ",$AA44)))),"")</f>
        <v>0</v>
      </c>
      <c r="BV44" s="209">
        <f>IF(44=44,IF($U44="","",SUMPRODUCT(--ISNUMBER(SEARCH(" "&amp;$CR$2024:$CR$2038&amp;" ",$AA44)))),"")</f>
        <v>0</v>
      </c>
      <c r="BW44" s="209" t="str">
        <f>IF(44=44,IF($U44="","",IF((BU44)-(0)&gt;0,"X",IF((BV44)-(0)&gt;0,"?",""))),"")</f>
        <v/>
      </c>
      <c r="BX44" s="209">
        <f>IF(44=44,IF($U44="","",SUMPRODUCT(--ISNUMBER(SEARCH(" "&amp;$CR$2039:$CR$2057&amp;" ",$AA44)))),"")</f>
        <v>0</v>
      </c>
      <c r="BY44" s="209">
        <f>IF(44=44,IF($U44="","",SUMPRODUCT(--ISNUMBER(SEARCH(" "&amp;$CR$2058:$CR$2072&amp;" ",$AA44)))),"")</f>
        <v>0</v>
      </c>
      <c r="BZ44" s="209" t="str">
        <f>IF(44=44,IF($U44="","",IF((BX44)-(0)&gt;0,"X",IF((BY44)-(0)&gt;0,"?",""))),"")</f>
        <v/>
      </c>
      <c r="CA44" s="209">
        <f>IF(44=44,IF($U44="","",SUMPRODUCT(--ISNUMBER(SEARCH(" "&amp;$CR$2073:$CR$2093&amp;" ",$AA44)))),"")</f>
        <v>0</v>
      </c>
      <c r="CB44" s="209">
        <f>IF(44=44,IF($U44="","",SUMPRODUCT(--ISNUMBER(SEARCH(" "&amp;$CR$2094:$CR$2133&amp;" ",SUBSTITUTE(SUBSTITUTE($AA44," "&amp;$CR$1367&amp;" "," ")," "&amp;$CR$1366&amp;" "," "))))+--ISNUMBER(SEARCH("poiré",$V44))),"")</f>
        <v>0</v>
      </c>
      <c r="CC44" s="209" t="str">
        <f>IF(44=44,IF($U44="","",IF(OR(CA44&gt;0,ISNUMBER(SEARCH(" vinaigre de vin ",$AA44)),ISNUMBER(SEARCH(" vinaigre au vin ",$AA44))),"X",IF(CB44&gt;0,"?",""))),"")</f>
        <v/>
      </c>
      <c r="CD44" s="209">
        <f>IF(44=44,IF($U44="","",SUMPRODUCT(--ISNUMBER(SEARCH(" "&amp;$CR$2134:$CR$2146&amp;" ",$AA44)))),"")</f>
        <v>0</v>
      </c>
      <c r="CE44" s="209">
        <f>IF(44=44,IF($U44="","",SUMPRODUCT(--ISNUMBER(SEARCH(" "&amp;$CR$2147:$CR$2152&amp;" ",$AA44)))),"")</f>
        <v>0</v>
      </c>
      <c r="CF44" s="209" t="str">
        <f>IF(44=44,IF($U44="","",IF((CD44)-(0)&gt;0,"X",IF((CE44)-(0)&gt;0,"?",""))),"")</f>
        <v/>
      </c>
      <c r="CG44" s="209">
        <f>IF(44=44,IF($U44="","",SUMPRODUCT(--ISNUMBER(SEARCH(" "&amp;$CR$2153:$CR$2252&amp;" ",$CJ44)))),"")</f>
        <v>0</v>
      </c>
      <c r="CH44" s="209">
        <f>IF(44=44,IF($U44="","",SUMPRODUCT(--ISNUMBER(SEARCH(" "&amp;$CR$2253:$CR$2352&amp;" ",$CJ44)))),"")</f>
        <v>0</v>
      </c>
      <c r="CI44" s="209">
        <f>IF(44=44,IF($U44="","",SUMPRODUCT(--ISNUMBER(SEARCH(" "&amp;$CR$2353:$CR$2395&amp;" ",$CJ44)))),"")</f>
        <v>0</v>
      </c>
      <c r="CJ44" s="209" t="str">
        <f>IF(44=44,IF($U44="","",SUBSTITUTE(SUBSTITUTE(SUBSTITUTE(SUBSTITUTE(SUBSTITUTE(SUBSTITUTE(SUBSTITUTE(SUBSTITUTE(SUBSTITUTE(SUBSTITUTE(SUBSTITUTE(SUBSTITUTE(SUBSTITUTE(SUBSTITUTE(SUBSTITUTE(SUBSTITUTE($AA44,"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worcestershire sauce </v>
      </c>
      <c r="CK44" s="209">
        <f>IF(44=44,IF($U44="","",SUMPRODUCT(--ISNUMBER(SEARCH(" "&amp;$CR$2412:$CR$2416&amp;" ",$CJ44)))),"")</f>
        <v>0</v>
      </c>
      <c r="CL44" s="209" t="str">
        <f>IF(44=44,IF($U44="","",IF(SUM(CG44:CI44)&gt;0,"X",IF(CK44&gt;0,"?",""))),"")</f>
        <v/>
      </c>
      <c r="CM44" s="210"/>
      <c r="CN44" s="213" t="s">
        <v>1063</v>
      </c>
      <c r="CO44" s="213" t="s">
        <v>878</v>
      </c>
      <c r="CP44" s="213" t="s">
        <v>879</v>
      </c>
      <c r="CQ44" s="213" t="s">
        <v>1064</v>
      </c>
      <c r="CR44" s="213" t="s">
        <v>1065</v>
      </c>
      <c r="CS44" s="213" t="s">
        <v>881</v>
      </c>
      <c r="CT44" s="213" t="s">
        <v>1066</v>
      </c>
      <c r="CU44" s="213" t="s">
        <v>883</v>
      </c>
      <c r="CV44" s="214" t="s">
        <v>884</v>
      </c>
      <c r="CX44" s="212">
        <v>1</v>
      </c>
    </row>
    <row r="45" spans="1:102" ht="21" customHeight="1">
      <c r="A45" s="229">
        <v>39</v>
      </c>
      <c r="B45" s="230" t="s">
        <v>6611</v>
      </c>
      <c r="C45" s="231" t="str">
        <f t="shared" si="0"/>
        <v>Préparation Bloody Mary / mix tomate épicé ?</v>
      </c>
      <c r="D45" s="232" t="str">
        <f>IF(45=45,IF($B45="","",IF(E45="X",""&amp;"Céréales contenant du gluten","")&amp;IF(F45="X",IF(COUNTIF($E45:$E45,"X")&gt;0,", ","")&amp;"Crustacés","")&amp;IF(G45="X",IF(COUNTIF($E45:$F45,"X")&gt;0,", ","")&amp;"Œufs","")&amp;IF(H45="X",IF(COUNTIF($E45:$G45,"X")&gt;0,", ","")&amp;"Poissons","")&amp;IF(I45="X",IF(COUNTIF($E45:$H45,"X")&gt;0,", ","")&amp;"Arachides","")&amp;IF(J45="X",IF(COUNTIF($E45:$I45,"X")&gt;0,", ","")&amp;"Soja","")&amp;IF(K45="X",IF(COUNTIF($E45:$J45,"X")&gt;0,", ","")&amp;"Lait","")&amp;IF(L45="X",IF(COUNTIF($E45:$K45,"X")&gt;0,", ","")&amp;"Fruits à coque","")&amp;IF(M45="X",IF(COUNTIF($E45:$L45,"X")&gt;0,", ","")&amp;"Céleri","")&amp;IF(N45="X",IF(COUNTIF($E45:$M45,"X")&gt;0,", ","")&amp;"Moutarde","")&amp;IF(O45="X",IF(COUNTIF($E45:$N45,"X")&gt;0,", ","")&amp;"Sésame","")&amp;IF(P45="X",IF(COUNTIF($E45:$O45,"X")&gt;0,", ","")&amp;"Sulfites","")&amp;IF(Q45="X",IF(COUNTIF($E45:$P45,"X")&gt;0,", ","")&amp;"Lupin","")&amp;IF(R45="X",IF(COUNTIF($E45:$Q45,"X")&gt;0,", ","")&amp;"Mollusques","")),"")</f>
        <v/>
      </c>
      <c r="E45" s="233" t="str">
        <f>IF(45=45,IF($B45="","",IF(OR(ISNUMBER(SEARCH(" biere sans gluten ",$AA45)),ISNUMBER(SEARCH(" gluten free beer ",$AA45)),ISNUMBER(SEARCH(" beer gluten free ",$AA45))),"",IF(AF45="X","X",IF(OR(AF45="?",OR(ISNUMBER(SEARCH(" worcestershire ",$AA45)),ISNUMBER(SEARCH(" bloody mary ",$AA45)))),"?","")))),"")</f>
        <v>?</v>
      </c>
      <c r="F45" s="233" t="str">
        <f>IF(45=45,IF($B45="","",AI45),"")</f>
        <v/>
      </c>
      <c r="G45" s="233" t="str">
        <f>IF(45=45,IF($B45="","",IF(OR(TRIM($AA45)="puree pate d amande",TRIM($AA45)="pate puree d amande",TRIM($AA45)="puree d amande",TRIM($AA45)="pate d amande",TRIM($AA45)="pate puree de noisette",TRIM($AA45)="puree pate de noisette",TRIM($AA45)="puree de noisette",TRIM($AA45)="pate de noisette"),"",IF(OR(AM45="X",OR(ISNUMBER(SEARCH(" macaron ",$AA45)),ISNUMBER(SEARCH(" egg nog ",$AA45)),ISNUMBER(SEARCH(" eggnog ",$AA45)))),"X",IF(OR(AM45="?",OR(ISNUMBER(SEARCH(" biscuit decoratif ",$AA45)),ISNUMBER(SEARCH(" whisky sour ",$AA45)),ISNUMBER(SEARCH(" whiskey sour ",$AA45)),ISNUMBER(SEARCH(" amaretto sour ",$AA45)),ISNUMBER(SEARCH(" pisco sour ",$AA45)),ISNUMBER(SEARCH(" clover club ",$AA45)),ISNUMBER(SEARCH(" ramos gin fizz ",$AA45)))),"?","")))),"")</f>
        <v/>
      </c>
      <c r="H45" s="233" t="str">
        <f>IF(45=45,IF($B45="","",IF(ISNUMBER(SEARCH(" colin ",$AA45)),"X",IF(AZ45="X","X",IF(OR(AZ45="?",OR(ISNUMBER(SEARCH(" worcestershire ",$AA45)),ISNUMBER(SEARCH(" bloody mary ",$AA45)))),"?","")))),"")</f>
        <v>?</v>
      </c>
      <c r="I45" s="233" t="str">
        <f>IF(45=45,IF($B45="","",BB45),"")</f>
        <v/>
      </c>
      <c r="J45" s="233" t="str">
        <f>IF(45=45,IF($B45="","",BF45),"")</f>
        <v/>
      </c>
      <c r="K45" s="233" t="str">
        <f>IF(45=45,IF($B45="","",IF(OR(OR(TRIM($AA45)="puree pate d amande",TRIM($AA45)="pate puree d amande",TRIM($AA45)="puree d amande",TRIM($AA45)="pate d amande",TRIM($AA45)="pate puree de noisette",TRIM($AA45)="puree pate de noisette",TRIM($AA45)="puree de noisette",TRIM($AA45)="pate de noisette"),OR(TRIM($AA45)="beurre puree d arachide",TRIM($AA45)="beurre d arachide",TRIM($AA45)="puree d arachide"),OR(TRIM($AA45)="tahini puree de sesame",TRIM($AA45)="tahini",TRIM($AA45)="puree de sesame")),"",IF(OR(TRIM($AA45)="creme de cassis",TRIM($AA45)="creme de menthe",TRIM($AA45)="creme de cacao",TRIM($AA45)="creme de mure",TRIM($AA45)="creme de framboise",TRIM($AA45)="creme de peche",TRIM($AA45)="creme de banane",TRIM($AA45)="liqueur creme de coco",TRIM($AA45)="creme de coco",TRIM($AA45)="spiritueux aromatise arrange creme de spiritueux"),"?",IF(OR(BM45="X",OR(ISNUMBER(SEARCH(" baileys ",$AA45)),ISNUMBER(SEARCH(" irish cream ",$AA45)),ISNUMBER(SEARCH(" creme de whisky ",$AA45)))),"X",IF(OR(BM45="?",OR(OR(TRIM($AA45)="creme de cassis",TRIM($AA45)="creme de menthe",TRIM($AA45)="creme de cacao",TRIM($AA45)="creme de mure",TRIM($AA45)="creme de framboise",TRIM($AA45)="creme de peche",TRIM($AA45)="creme de banane",TRIM($AA45)="liqueur creme de coco",TRIM($AA45)="creme de coco",TRIM($AA45)="spiritueux aromatise arrange creme de spiritueux"),ISNUMBER(SEARCH(" advocaat ",$AA45)),ISNUMBER(SEARCH(" liqueur aux oeufs ",$AA45)),ISNUMBER(SEARCH(" liqueur de chocolat ",$AA45)),ISNUMBER(SEARCH(" liqueur de caramel ",$AA45)),ISNUMBER(SEARCH(" sauce nappage chocolat ",$AA45)),ISNUMBER(SEARCH(" biscuit decoratif ",$AA45)),ISNUMBER(SEARCH(" white russian ",$AA45)),ISNUMBER(SEARCH(" grasshopper ",$AA45)),ISNUMBER(SEARCH(" irish coffee ",$AA45)),ISNUMBER(SEARCH(" ramos gin fizz ",$AA45)),ISNUMBER(SEARCH(" egg nog ",$AA45)),ISNUMBER(SEARCH(" eggnog ",$AA45)))),"?",""))))),"")</f>
        <v/>
      </c>
      <c r="L45" s="233" t="str">
        <f>IF(45=45,IF($B45="","",IF(OR(BQ45="X",OR(OR(TRIM($AA45)="puree pate d amande",TRIM($AA45)="pate puree d amande",TRIM($AA45)="puree d amande",TRIM($AA45)="pate d amande",TRIM($AA45)="pate puree de noisette",TRIM($AA45)="puree pate de noisette",TRIM($AA45)="puree de noisette",TRIM($AA45)="pate de noisette"),ISNUMBER(SEARCH(" macaron ",$AA45)),TRIM($AA45)="fruits a coque")),"X",IF(OR(BQ45="?",OR(ISNUMBER(SEARCH(" sirop d orgeat ",$AA45)),ISNUMBER(SEARCH(" orgeat ",$AA45)),ISNUMBER(SEARCH(" amaretto ",$AA45)))),"?",""))),"")</f>
        <v/>
      </c>
      <c r="M45" s="233" t="str">
        <f>IF(45=45,IF($B45="","",IF(OR(OR(TRIM($AA45)="puree pate d amande",TRIM($AA45)="pate puree d amande",TRIM($AA45)="puree d amande",TRIM($AA45)="pate d amande",TRIM($AA45)="pate puree de noisette",TRIM($AA45)="puree pate de noisette",TRIM($AA45)="puree de noisette",TRIM($AA45)="pate de noisette"),OR(TRIM($AA45)="tahini puree de sesame",TRIM($AA45)="tahini",TRIM($AA45)="puree de sesame")),"",IF(BT45="X","X",IF(OR(BT45="?",ISNUMBER(SEARCH(" bloody mary ",$AA45))),"?","")))),"")</f>
        <v>?</v>
      </c>
      <c r="N45" s="233" t="str">
        <f>IF(45=45,IF($B45="","",IF(OR(OR(TRIM($AA45)="puree pate d amande",TRIM($AA45)="pate puree d amande",TRIM($AA45)="puree d amande",TRIM($AA45)="pate d amande",TRIM($AA45)="pate puree de noisette",TRIM($AA45)="puree pate de noisette",TRIM($AA45)="puree de noisette",TRIM($AA45)="pate de noisette"),OR(TRIM($AA45)="tahini puree de sesame",TRIM($AA45)="tahini",TRIM($AA45)="puree de sesame")),"",IF(BW45="X","X",IF(OR(BW45="?",ISNUMBER(SEARCH(" bloody mary ",$AA45))),"?","")))),"")</f>
        <v>?</v>
      </c>
      <c r="O45" s="233" t="str">
        <f>IF(45=45,IF($B45="","",BZ45),"")</f>
        <v/>
      </c>
      <c r="P45" s="233" t="str">
        <f>IF(45=45,IF($B45="","",CC45),"")</f>
        <v/>
      </c>
      <c r="Q45" s="233" t="str">
        <f>IF(45=45,IF($B45="","",CF45),"")</f>
        <v/>
      </c>
      <c r="R45" s="233" t="str">
        <f>IF(45=45,IF($B45="","",IF(TRIM($AA45)="fruits a coque","",IF(CL45="X","X",IF(OR(CL45="?",OR(ISNUMBER(SEARCH(" clamato ",$AA45)),ISNUMBER(SEARCH(" bloody caesar ",$AA45)))),"?","")))),"")</f>
        <v/>
      </c>
      <c r="S45" s="234" t="str">
        <f>IF(45=45,IF($B45="","",IF(E45="?",""&amp;"Céréales contenant du gluten","")&amp;IF(F45="?",IF(COUNTIF($E45:$E45,"~?")&gt;0,", ","")&amp;"Crustacés","")&amp;IF(G45="?",IF(COUNTIF($E45:$F45,"~?")&gt;0,", ","")&amp;"Œufs","")&amp;IF(H45="?",IF(COUNTIF($E45:$G45,"~?")&gt;0,", ","")&amp;"Poissons","")&amp;IF(I45="?",IF(COUNTIF($E45:$H45,"~?")&gt;0,", ","")&amp;"Arachides","")&amp;IF(J45="?",IF(COUNTIF($E45:$I45,"~?")&gt;0,", ","")&amp;"Soja","")&amp;IF(K45="?",IF(COUNTIF($E45:$J45,"~?")&gt;0,", ","")&amp;"Lait","")&amp;IF(L45="?",IF(COUNTIF($E45:$K45,"~?")&gt;0,", ","")&amp;"Fruits à coque","")&amp;IF(M45="?",IF(COUNTIF($E45:$L45,"~?")&gt;0,", ","")&amp;"Céleri","")&amp;IF(N45="?",IF(COUNTIF($E45:$M45,"~?")&gt;0,", ","")&amp;"Moutarde","")&amp;IF(O45="?",IF(COUNTIF($E45:$N45,"~?")&gt;0,", ","")&amp;"Sésame","")&amp;IF(P45="?",IF(COUNTIF($E45:$O45,"~?")&gt;0,", ","")&amp;"Sulfites","")&amp;IF(Q45="?",IF(COUNTIF($E45:$P45,"~?")&gt;0,", ","")&amp;"Lupin","")&amp;IF(R45="?",IF(COUNTIF($E45:$Q45,"~?")&gt;0,", ","")&amp;"Mollusques","")),"")</f>
        <v>Céréales contenant du gluten, Poissons, Céleri, Moutarde</v>
      </c>
      <c r="U45" s="209" t="str">
        <f>IF(45=45,IF($B45="","",$B45),"")</f>
        <v>Préparation Bloody Mary / mix tomate épicé</v>
      </c>
      <c r="V45" s="209" t="str">
        <f>IF(45=45,LOWER(CLEAN(SUBSTITUTE(SUBSTITUTE(SUBSTITUTE(SUBSTITUTE($U45,CHAR(160)," ")," "," "),CHAR(10)," "),CHAR(13)," "))),"")</f>
        <v>préparation bloody mary / mix tomate épicé</v>
      </c>
      <c r="W45" s="209" t="str">
        <f>IF(45=45,SUBSTITUTE(SUBSTITUTE(SUBSTITUTE(SUBSTITUTE(SUBSTITUTE(SUBSTITUTE(SUBSTITUTE(SUBSTITUTE(SUBSTITUTE(SUBSTITUTE(SUBSTITUTE(SUBSTITUTE($V45,"œ","oe"),"æ","ae"),"à","a"),"á","a"),"â","a"),"ä","a"),"ã","a"),"ç","c"),"è","e"),"é","e"),"ê","e"),"ë","e"),"")</f>
        <v>preparation bloody mary / mix tomate epice</v>
      </c>
      <c r="X45" s="209" t="str">
        <f>IF(45=45,SUBSTITUTE(SUBSTITUTE(SUBSTITUTE(SUBSTITUTE(SUBSTITUTE(SUBSTITUTE(SUBSTITUTE(SUBSTITUTE(SUBSTITUTE(SUBSTITUTE(SUBSTITUTE(SUBSTITUTE(SUBSTITUTE(SUBSTITUTE(SUBSTITUTE(SUBSTITUTE($W45,"ì","i"),"í","i"),"î","i"),"ï","i"),"ñ","n"),"ò","o"),"ó","o"),"ô","o"),"ö","o"),"õ","o"),"ù","u"),"ú","u"),"û","u"),"ü","u"),"ý","y"),"ÿ","y"),"")</f>
        <v>preparation bloody mary / mix tomate epice</v>
      </c>
      <c r="Y45" s="209" t="str">
        <f>IF(45=45,SUBSTITUTE(SUBSTITUTE(SUBSTITUTE(SUBSTITUTE(SUBSTITUTE(SUBSTITUTE(SUBSTITUTE(SUBSTITUTE(SUBSTITUTE(SUBSTITUTE(SUBSTITUTE(SUBSTITUTE(SUBSTITUTE(SUBSTITUTE($X45,"’"," "),"`"," "),"–"," "),"—"," "),"-"," "),"'"," "),"/"," "),"_"," "),","," "),"."," "),"("," "),")"," "),";"," "),":"," "),"")</f>
        <v>preparation bloody mary   mix tomate epice</v>
      </c>
      <c r="Z45" s="209" t="str">
        <f>IF(45=45,SUBSTITUTE(SUBSTITUTE(SUBSTITUTE(SUBSTITUTE(SUBSTITUTE(SUBSTITUTE(SUBSTITUTE(SUBSTITUTE(SUBSTITUTE(SUBSTITUTE(SUBSTITUTE(SUBSTITUTE(SUBSTITUTE(SUBSTITUTE(SUBSTITUTE($Y45,"!"," "),"?"," "),"+"," "),"*"," "),"&amp;"," "),"["," "),"]"," "),"{"," "),"}"," "),"%"," "),"="," "),"\"," "),"|"," "),"&lt;"," "),"&gt;"," "),"")</f>
        <v>preparation bloody mary   mix tomate epice</v>
      </c>
      <c r="AA45" s="209" t="str">
        <f>IF(45=45," "&amp;TRIM(SUBSTITUTE(SUBSTITUTE(SUBSTITUTE(SUBSTITUTE(SUBSTITUTE(SUBSTITUTE($Z45,CHAR(34)," "),"  "," "),"  "," "),"  "," "),"  "," "),"  "," "))&amp;" ","")</f>
        <v xml:space="preserve"> preparation bloody mary mix tomate epice </v>
      </c>
      <c r="AB45" s="209">
        <f>IF(45=45,IF($U45="","",SUMPRODUCT(--ISNUMBER(SEARCH(" "&amp;$CR$2:$CR$101&amp;" ",$AD45)))),"")</f>
        <v>0</v>
      </c>
      <c r="AC45" s="209">
        <f>IF(45=45,IF($U45="","",SUMPRODUCT(--ISNUMBER(SEARCH(" "&amp;$CR$102:$CR$151&amp;" ",$AD45)))),"")</f>
        <v>0</v>
      </c>
      <c r="AD45" s="209" t="str">
        <f t="shared" si="1"/>
        <v xml:space="preserve"> preparation bloody mary mix tomate epice </v>
      </c>
      <c r="AE45" s="209">
        <f t="shared" si="2"/>
        <v>0</v>
      </c>
      <c r="AF45" s="209" t="str">
        <f>IF(45=45,IF($U45="","",IF(SUM(AB45:AC45)+SUMPRODUCT(--ISNUMBER(SEARCH(" "&amp;$CR$2418:$CR$2420&amp;" ",$AD45)))&gt;0,"X",IF(AE45&gt;0,"?",""))),"")</f>
        <v/>
      </c>
      <c r="AG45" s="209">
        <f>IF(45=45,IF($U45="","",SUMPRODUCT(--ISNUMBER(SEARCH(" "&amp;$CR$206:$CR$305&amp;" ",$AA45)))),"")</f>
        <v>0</v>
      </c>
      <c r="AH45" s="209">
        <f>IF(45=45,IF($U45="","",SUMPRODUCT(--ISNUMBER(SEARCH(" "&amp;$CR$306:$CR$340&amp;" ",$AA45)))),"")</f>
        <v>0</v>
      </c>
      <c r="AI45" s="209" t="str">
        <f>IF(45=45,IF($U45="","",IF((SUM(AG45:AH45))-(0)&gt;0,"X",IF((0)-(0)&gt;0,"?",""))),"")</f>
        <v/>
      </c>
      <c r="AJ45" s="209">
        <f>IF(45=45,IF($U45="","",SUMPRODUCT(--ISNUMBER(SEARCH(" "&amp;$CR$341:$CR$398&amp;" ",$AA45)))),"")</f>
        <v>0</v>
      </c>
      <c r="AK45" s="209">
        <f>IF(45=45,IF($U45="","",SUMPRODUCT(--ISNUMBER(SEARCH(" "&amp;$CR$399:$CR$426&amp;" ",$AL45)))+SUMPRODUCT(--ISNUMBER(SEARCH(" "&amp;$CR$2440:$CR$2453&amp;" ",$AL45)))),"")</f>
        <v>0</v>
      </c>
      <c r="AL45" s="209" t="str">
        <f>IF(45=45,IF($U45="","",SUBSTITUTE(SUBSTITUTE(SUBSTITUTE(SUBSTITUTE(SUBSTITUTE(SUBSTITUTE(SUBSTITUTE(SUBSTITUTE(SUBSTITUTE(SUBSTITUTE(SUBSTITUTE(SUBSTITUTE(SUBSTITUTE(SUBSTITUTE($AA45,"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preparation bloody mary mix tomate epice </v>
      </c>
      <c r="AM45" s="209" t="str">
        <f>IF(45=45,IF($U45="","",IF(AJ45&gt;0,"X",IF(AK45&gt;0,"?",""))),"")</f>
        <v/>
      </c>
      <c r="AN45" s="209">
        <f>IF(45=45,IF($U45="","",SUMPRODUCT(--ISNUMBER(SEARCH(" "&amp;$CR$436:$CR$535&amp;" ",$AX45)))),"")</f>
        <v>0</v>
      </c>
      <c r="AO45" s="209">
        <f>IF(45=45,IF($U45="","",SUMPRODUCT(--ISNUMBER(SEARCH(" "&amp;$CR$536:$CR$635&amp;" ",$AX45)))),"")</f>
        <v>0</v>
      </c>
      <c r="AP45" s="209">
        <f>IF(45=45,IF($U45="","",SUMPRODUCT(--ISNUMBER(SEARCH(" "&amp;$CR$636:$CR$735&amp;" ",$AX45)))),"")</f>
        <v>0</v>
      </c>
      <c r="AQ45" s="209">
        <f>IF(45=45,IF($U45="","",SUMPRODUCT(--ISNUMBER(SEARCH(" "&amp;$CR$736:$CR$835&amp;" ",$AX45)))),"")</f>
        <v>0</v>
      </c>
      <c r="AR45" s="209">
        <f>IF(45=45,IF($U45="","",SUMPRODUCT(--ISNUMBER(SEARCH(" "&amp;$CR$836:$CR$935&amp;" ",$AX45)))),"")</f>
        <v>0</v>
      </c>
      <c r="AS45" s="209">
        <f>IF(45=45,IF($U45="","",SUMPRODUCT(--ISNUMBER(SEARCH(" "&amp;$CR$936:$CR$1035&amp;" ",$AX45)))),"")</f>
        <v>0</v>
      </c>
      <c r="AT45" s="209">
        <f>IF(45=45,IF($U45="","",SUMPRODUCT(--ISNUMBER(SEARCH(" "&amp;$CR$1036:$CR$1135&amp;" ",$AX45)))),"")</f>
        <v>0</v>
      </c>
      <c r="AU45" s="209">
        <f>IF(45=45,IF($U45="","",SUMPRODUCT(--ISNUMBER(SEARCH(" "&amp;$CR$1136:$CR$1235&amp;" ",$AX45)))),"")</f>
        <v>0</v>
      </c>
      <c r="AV45" s="209">
        <f>IF(45=45,IF($U45="","",SUMPRODUCT(--ISNUMBER(SEARCH(" "&amp;$CR$1236:$CR$1335&amp;" ",$AX45)))),"")</f>
        <v>0</v>
      </c>
      <c r="AW45" s="209">
        <f>IF(45=45,IF($U45="","",SUMPRODUCT(--ISNUMBER(SEARCH(" "&amp;$CR$1336:$CR$1363&amp;" ",$AX45)))),"")</f>
        <v>0</v>
      </c>
      <c r="AX45" s="209" t="str">
        <f>IF(45=45,IF($U45="","",SUBSTITUTE(SUBSTITUTE(SUBSTITUTE(SUBSTITUTE(SUBSTITUTE(SUBSTITUTE(SUBSTITUTE(SUBSTITUTE(SUBSTITUTE($AA45,"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preparation bloody mary mix tomate epice </v>
      </c>
      <c r="AY45" s="209">
        <f>IF(45=45,IF($U45="","",SUMPRODUCT(--ISNUMBER(SEARCH(" "&amp;$CR$1373:$CR$1383&amp;" ",$AX45)))),"")</f>
        <v>0</v>
      </c>
      <c r="AZ45" s="209" t="str">
        <f>IF(45=45,IF($U45="","",IF(SUM(AN45:AW45)+SUMPRODUCT(--ISNUMBER(SEARCH(" "&amp;$CR$2421:$CR$2422&amp;" ",$AX45)))&gt;0,"X",IF(AY45&gt;0,"?",""))),"")</f>
        <v/>
      </c>
      <c r="BA45" s="209">
        <f>IF(45=45,IF($U45="","",SUMPRODUCT(--ISNUMBER(SEARCH(" "&amp;$CR$1384:$CR$1404&amp;" ",$AA45)))),"")</f>
        <v>0</v>
      </c>
      <c r="BB45" s="209" t="str">
        <f>IF(45=45,IF($U45="","",IF((BA45)-(0)&gt;0,"X",IF((0)-(0)&gt;0,"?",""))),"")</f>
        <v/>
      </c>
      <c r="BC45" s="209">
        <f>IF(45=45,IF($U45="","",SUMPRODUCT(--ISNUMBER(SEARCH(" "&amp;$CR$1405:$CR$1442&amp;" ",$BD45)))),"")</f>
        <v>0</v>
      </c>
      <c r="BD45" s="209" t="str">
        <f>IF(45=45,IF($U45="","",SUBSTITUTE(SUBSTITUTE($AA45," "&amp;$CR$1443&amp;" "," ")," "&amp;$CR$1444&amp;" "," ")),"")</f>
        <v xml:space="preserve"> preparation bloody mary mix tomate epice </v>
      </c>
      <c r="BE45" s="209">
        <f>IF(45=45,IF($U45="","",SUMPRODUCT(--ISNUMBER(SEARCH(" "&amp;$CR$1445:$CR$1455&amp;" ",$BD45)))),"")</f>
        <v>0</v>
      </c>
      <c r="BF45" s="209" t="str">
        <f>IF(45=45,IF($U45="","",IF(BC45&gt;0,"X",IF(BE45&gt;0,"?",""))),"")</f>
        <v/>
      </c>
      <c r="BG45" s="209">
        <f>IF(45=45,IF($U45="","",SUMPRODUCT(--ISNUMBER(SEARCH(" "&amp;$CR$1456:$CR$1555&amp;" ",$BJ45)))),"")</f>
        <v>0</v>
      </c>
      <c r="BH45" s="209">
        <f>IF(45=45,IF($U45="","",SUMPRODUCT(--ISNUMBER(SEARCH(" "&amp;$CR$1556:$CR$1655&amp;" ",$BJ45)))),"")</f>
        <v>0</v>
      </c>
      <c r="BI45" s="209">
        <f>IF(45=45,IF($U45="","",SUMPRODUCT(--ISNUMBER(SEARCH(" "&amp;$CR$1656:$CR$1739&amp;" ",$BJ45)))),"")</f>
        <v>0</v>
      </c>
      <c r="BJ45" s="209" t="str">
        <f>IF(45=45,IF($U45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45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preparation bloody mary mix tomate epice </v>
      </c>
      <c r="BK45" s="209">
        <f>IF(45=45,IF($U45="","",SUMPRODUCT(--ISNUMBER(SEARCH(" "&amp;$CR$1790:$CR$1869&amp;" ",$BL45)))+SUMPRODUCT(--ISNUMBER(SEARCH(" "&amp;$CR$2440:$CR$2453&amp;" ",$BL45)))),"")</f>
        <v>0</v>
      </c>
      <c r="BL45" s="209" t="str">
        <f>IF(45=45,IF($U45="","",SUBSTITUTE(SUBSTITUTE(SUBSTITUTE(SUBSTITUTE(SUBSTITUTE(SUBSTITUTE(SUBSTITUTE(SUBSTITUTE(SUBSTITUTE(SUBSTITUTE(SUBSTITUTE(SUBSTITUTE(SUBSTITUTE($BJ45,"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preparation bloody mary mix tomate epice </v>
      </c>
      <c r="BM45" s="209" t="str">
        <f>IF(45=45,IF($U45="","",IF(SUM(BG45:BI45)+SUMPRODUCT(--ISNUMBER(SEARCH(" "&amp;$CR$2423:$CR$2424&amp;" ",$BJ45)))&gt;0,"X",IF(BK45&gt;0,"?",""))),"")</f>
        <v/>
      </c>
      <c r="BN45" s="209">
        <f>IF(45=45,IF($U45="","",SUMPRODUCT(--ISNUMBER(SEARCH(" "&amp;$CR$1879:$CR$1936&amp;" ",$BO45)))),"")</f>
        <v>0</v>
      </c>
      <c r="BO45" s="209" t="str">
        <f>IF(45=45,IF($U45="","",SUBSTITUTE(SUBSTITUTE(SUBSTITUTE(SUBSTITUTE(SUBSTITUTE(SUBSTITUTE(SUBSTITUTE(SUBSTITUTE(SUBSTITUTE(SUBSTITUTE(SUBSTITUTE(SUBSTITUTE(SUBSTITUTE(SUBSTITUTE(SUBSTITUTE(SUBSTITUTE(SUBSTITUTE(SUBSTITUTE(SUBSTITUTE(SUBSTITUTE(SUBSTITUTE(SUBSTITUTE(SUBSTITUTE($AA45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preparation bloody mary mix tomate epice </v>
      </c>
      <c r="BP45" s="209">
        <f>IF(45=45,IF($U45="","",SUMPRODUCT(--ISNUMBER(SEARCH(" "&amp;$CR$1960:$CR$1976&amp;" ",$BO45)))),"")</f>
        <v>0</v>
      </c>
      <c r="BQ45" s="209" t="str">
        <f>IF(45=45,IF($U45="","",IF(BN45&gt;0,"X",IF(BP45&gt;0,"?",""))),"")</f>
        <v/>
      </c>
      <c r="BR45" s="209">
        <f>IF(45=45,IF($U45="","",SUMPRODUCT(--ISNUMBER(SEARCH(" "&amp;$CR$1977:$CR$1990&amp;" ",$AA45)))),"")</f>
        <v>0</v>
      </c>
      <c r="BS45" s="209">
        <f>IF(45=45,IF($U45="","",SUMPRODUCT(--ISNUMBER(SEARCH(" "&amp;$CR$1991:$CR$2005&amp;" ",$AA45)))),"")</f>
        <v>0</v>
      </c>
      <c r="BT45" s="209" t="str">
        <f>IF(45=45,IF($U45="","",IF((BR45)-(0)&gt;0,"X",IF((BS45)-(0)&gt;0,"?",""))),"")</f>
        <v/>
      </c>
      <c r="BU45" s="209">
        <f>IF(45=45,IF($U45="","",SUMPRODUCT(--ISNUMBER(SEARCH(" "&amp;$CR$2006:$CR$2023&amp;" ",$AA45)))),"")</f>
        <v>0</v>
      </c>
      <c r="BV45" s="209">
        <f>IF(45=45,IF($U45="","",SUMPRODUCT(--ISNUMBER(SEARCH(" "&amp;$CR$2024:$CR$2038&amp;" ",$AA45)))),"")</f>
        <v>0</v>
      </c>
      <c r="BW45" s="209" t="str">
        <f>IF(45=45,IF($U45="","",IF((BU45)-(0)&gt;0,"X",IF((BV45)-(0)&gt;0,"?",""))),"")</f>
        <v/>
      </c>
      <c r="BX45" s="209">
        <f>IF(45=45,IF($U45="","",SUMPRODUCT(--ISNUMBER(SEARCH(" "&amp;$CR$2039:$CR$2057&amp;" ",$AA45)))),"")</f>
        <v>0</v>
      </c>
      <c r="BY45" s="209">
        <f>IF(45=45,IF($U45="","",SUMPRODUCT(--ISNUMBER(SEARCH(" "&amp;$CR$2058:$CR$2072&amp;" ",$AA45)))),"")</f>
        <v>0</v>
      </c>
      <c r="BZ45" s="209" t="str">
        <f>IF(45=45,IF($U45="","",IF((BX45)-(0)&gt;0,"X",IF((BY45)-(0)&gt;0,"?",""))),"")</f>
        <v/>
      </c>
      <c r="CA45" s="209">
        <f>IF(45=45,IF($U45="","",SUMPRODUCT(--ISNUMBER(SEARCH(" "&amp;$CR$2073:$CR$2093&amp;" ",$AA45)))),"")</f>
        <v>0</v>
      </c>
      <c r="CB45" s="209">
        <f>IF(45=45,IF($U45="","",SUMPRODUCT(--ISNUMBER(SEARCH(" "&amp;$CR$2094:$CR$2133&amp;" ",SUBSTITUTE(SUBSTITUTE($AA45," "&amp;$CR$1367&amp;" "," ")," "&amp;$CR$1366&amp;" "," "))))+--ISNUMBER(SEARCH("poiré",$V45))),"")</f>
        <v>0</v>
      </c>
      <c r="CC45" s="209" t="str">
        <f>IF(45=45,IF($U45="","",IF(OR(CA45&gt;0,ISNUMBER(SEARCH(" vinaigre de vin ",$AA45)),ISNUMBER(SEARCH(" vinaigre au vin ",$AA45))),"X",IF(CB45&gt;0,"?",""))),"")</f>
        <v/>
      </c>
      <c r="CD45" s="209">
        <f>IF(45=45,IF($U45="","",SUMPRODUCT(--ISNUMBER(SEARCH(" "&amp;$CR$2134:$CR$2146&amp;" ",$AA45)))),"")</f>
        <v>0</v>
      </c>
      <c r="CE45" s="209">
        <f>IF(45=45,IF($U45="","",SUMPRODUCT(--ISNUMBER(SEARCH(" "&amp;$CR$2147:$CR$2152&amp;" ",$AA45)))),"")</f>
        <v>0</v>
      </c>
      <c r="CF45" s="209" t="str">
        <f>IF(45=45,IF($U45="","",IF((CD45)-(0)&gt;0,"X",IF((CE45)-(0)&gt;0,"?",""))),"")</f>
        <v/>
      </c>
      <c r="CG45" s="209">
        <f>IF(45=45,IF($U45="","",SUMPRODUCT(--ISNUMBER(SEARCH(" "&amp;$CR$2153:$CR$2252&amp;" ",$CJ45)))),"")</f>
        <v>0</v>
      </c>
      <c r="CH45" s="209">
        <f>IF(45=45,IF($U45="","",SUMPRODUCT(--ISNUMBER(SEARCH(" "&amp;$CR$2253:$CR$2352&amp;" ",$CJ45)))),"")</f>
        <v>0</v>
      </c>
      <c r="CI45" s="209">
        <f>IF(45=45,IF($U45="","",SUMPRODUCT(--ISNUMBER(SEARCH(" "&amp;$CR$2353:$CR$2395&amp;" ",$CJ45)))),"")</f>
        <v>0</v>
      </c>
      <c r="CJ45" s="209" t="str">
        <f>IF(45=45,IF($U45="","",SUBSTITUTE(SUBSTITUTE(SUBSTITUTE(SUBSTITUTE(SUBSTITUTE(SUBSTITUTE(SUBSTITUTE(SUBSTITUTE(SUBSTITUTE(SUBSTITUTE(SUBSTITUTE(SUBSTITUTE(SUBSTITUTE(SUBSTITUTE(SUBSTITUTE(SUBSTITUTE($AA45,"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preparation bloody mary mix tomate epice </v>
      </c>
      <c r="CK45" s="209">
        <f>IF(45=45,IF($U45="","",SUMPRODUCT(--ISNUMBER(SEARCH(" "&amp;$CR$2412:$CR$2416&amp;" ",$CJ45)))),"")</f>
        <v>0</v>
      </c>
      <c r="CL45" s="209" t="str">
        <f>IF(45=45,IF($U45="","",IF(SUM(CG45:CI45)&gt;0,"X",IF(CK45&gt;0,"?",""))),"")</f>
        <v/>
      </c>
      <c r="CM45" s="210"/>
      <c r="CN45" s="213" t="s">
        <v>1067</v>
      </c>
      <c r="CO45" s="213" t="s">
        <v>878</v>
      </c>
      <c r="CP45" s="213" t="s">
        <v>879</v>
      </c>
      <c r="CQ45" s="213" t="s">
        <v>1068</v>
      </c>
      <c r="CR45" s="213" t="s">
        <v>1068</v>
      </c>
      <c r="CS45" s="213" t="s">
        <v>881</v>
      </c>
      <c r="CT45" s="213" t="s">
        <v>882</v>
      </c>
      <c r="CU45" s="213" t="s">
        <v>883</v>
      </c>
      <c r="CV45" s="214" t="s">
        <v>884</v>
      </c>
      <c r="CX45" s="212">
        <v>1</v>
      </c>
    </row>
    <row r="46" spans="1:102" ht="21" customHeight="1">
      <c r="A46" s="229">
        <v>40</v>
      </c>
      <c r="B46" s="230" t="s">
        <v>6616</v>
      </c>
      <c r="C46" s="231" t="str">
        <f t="shared" si="0"/>
        <v>Sirop aromatisé industriel</v>
      </c>
      <c r="D46" s="232" t="str">
        <f>IF(46=46,IF($B46="","",IF(E46="X",""&amp;"Céréales contenant du gluten","")&amp;IF(F46="X",IF(COUNTIF($E46:$E46,"X")&gt;0,", ","")&amp;"Crustacés","")&amp;IF(G46="X",IF(COUNTIF($E46:$F46,"X")&gt;0,", ","")&amp;"Œufs","")&amp;IF(H46="X",IF(COUNTIF($E46:$G46,"X")&gt;0,", ","")&amp;"Poissons","")&amp;IF(I46="X",IF(COUNTIF($E46:$H46,"X")&gt;0,", ","")&amp;"Arachides","")&amp;IF(J46="X",IF(COUNTIF($E46:$I46,"X")&gt;0,", ","")&amp;"Soja","")&amp;IF(K46="X",IF(COUNTIF($E46:$J46,"X")&gt;0,", ","")&amp;"Lait","")&amp;IF(L46="X",IF(COUNTIF($E46:$K46,"X")&gt;0,", ","")&amp;"Fruits à coque","")&amp;IF(M46="X",IF(COUNTIF($E46:$L46,"X")&gt;0,", ","")&amp;"Céleri","")&amp;IF(N46="X",IF(COUNTIF($E46:$M46,"X")&gt;0,", ","")&amp;"Moutarde","")&amp;IF(O46="X",IF(COUNTIF($E46:$N46,"X")&gt;0,", ","")&amp;"Sésame","")&amp;IF(P46="X",IF(COUNTIF($E46:$O46,"X")&gt;0,", ","")&amp;"Sulfites","")&amp;IF(Q46="X",IF(COUNTIF($E46:$P46,"X")&gt;0,", ","")&amp;"Lupin","")&amp;IF(R46="X",IF(COUNTIF($E46:$Q46,"X")&gt;0,", ","")&amp;"Mollusques","")),"")</f>
        <v/>
      </c>
      <c r="E46" s="233" t="str">
        <f>IF(46=46,IF($B46="","",IF(OR(ISNUMBER(SEARCH(" biere sans gluten ",$AA46)),ISNUMBER(SEARCH(" gluten free beer ",$AA46)),ISNUMBER(SEARCH(" beer gluten free ",$AA46))),"",IF(AF46="X","X",IF(OR(AF46="?",OR(ISNUMBER(SEARCH(" worcestershire ",$AA46)),ISNUMBER(SEARCH(" bloody mary ",$AA46)))),"?","")))),"")</f>
        <v/>
      </c>
      <c r="F46" s="233" t="str">
        <f>IF(46=46,IF($B46="","",AI46),"")</f>
        <v/>
      </c>
      <c r="G46" s="233" t="str">
        <f>IF(46=46,IF($B46="","",IF(OR(TRIM($AA46)="puree pate d amande",TRIM($AA46)="pate puree d amande",TRIM($AA46)="puree d amande",TRIM($AA46)="pate d amande",TRIM($AA46)="pate puree de noisette",TRIM($AA46)="puree pate de noisette",TRIM($AA46)="puree de noisette",TRIM($AA46)="pate de noisette"),"",IF(OR(AM46="X",OR(ISNUMBER(SEARCH(" macaron ",$AA46)),ISNUMBER(SEARCH(" egg nog ",$AA46)),ISNUMBER(SEARCH(" eggnog ",$AA46)))),"X",IF(OR(AM46="?",OR(ISNUMBER(SEARCH(" biscuit decoratif ",$AA46)),ISNUMBER(SEARCH(" whisky sour ",$AA46)),ISNUMBER(SEARCH(" whiskey sour ",$AA46)),ISNUMBER(SEARCH(" amaretto sour ",$AA46)),ISNUMBER(SEARCH(" pisco sour ",$AA46)),ISNUMBER(SEARCH(" clover club ",$AA46)),ISNUMBER(SEARCH(" ramos gin fizz ",$AA46)))),"?","")))),"")</f>
        <v/>
      </c>
      <c r="H46" s="233" t="str">
        <f>IF(46=46,IF($B46="","",IF(ISNUMBER(SEARCH(" colin ",$AA46)),"X",IF(AZ46="X","X",IF(OR(AZ46="?",OR(ISNUMBER(SEARCH(" worcestershire ",$AA46)),ISNUMBER(SEARCH(" bloody mary ",$AA46)))),"?","")))),"")</f>
        <v/>
      </c>
      <c r="I46" s="233" t="str">
        <f>IF(46=46,IF($B46="","",BB46),"")</f>
        <v/>
      </c>
      <c r="J46" s="233" t="str">
        <f>IF(46=46,IF($B46="","",BF46),"")</f>
        <v/>
      </c>
      <c r="K46" s="233" t="str">
        <f>IF(46=46,IF($B46="","",IF(OR(OR(TRIM($AA46)="puree pate d amande",TRIM($AA46)="pate puree d amande",TRIM($AA46)="puree d amande",TRIM($AA46)="pate d amande",TRIM($AA46)="pate puree de noisette",TRIM($AA46)="puree pate de noisette",TRIM($AA46)="puree de noisette",TRIM($AA46)="pate de noisette"),OR(TRIM($AA46)="beurre puree d arachide",TRIM($AA46)="beurre d arachide",TRIM($AA46)="puree d arachide"),OR(TRIM($AA46)="tahini puree de sesame",TRIM($AA46)="tahini",TRIM($AA46)="puree de sesame")),"",IF(OR(TRIM($AA46)="creme de cassis",TRIM($AA46)="creme de menthe",TRIM($AA46)="creme de cacao",TRIM($AA46)="creme de mure",TRIM($AA46)="creme de framboise",TRIM($AA46)="creme de peche",TRIM($AA46)="creme de banane",TRIM($AA46)="liqueur creme de coco",TRIM($AA46)="creme de coco",TRIM($AA46)="spiritueux aromatise arrange creme de spiritueux"),"?",IF(OR(BM46="X",OR(ISNUMBER(SEARCH(" baileys ",$AA46)),ISNUMBER(SEARCH(" irish cream ",$AA46)),ISNUMBER(SEARCH(" creme de whisky ",$AA46)))),"X",IF(OR(BM46="?",OR(OR(TRIM($AA46)="creme de cassis",TRIM($AA46)="creme de menthe",TRIM($AA46)="creme de cacao",TRIM($AA46)="creme de mure",TRIM($AA46)="creme de framboise",TRIM($AA46)="creme de peche",TRIM($AA46)="creme de banane",TRIM($AA46)="liqueur creme de coco",TRIM($AA46)="creme de coco",TRIM($AA46)="spiritueux aromatise arrange creme de spiritueux"),ISNUMBER(SEARCH(" advocaat ",$AA46)),ISNUMBER(SEARCH(" liqueur aux oeufs ",$AA46)),ISNUMBER(SEARCH(" liqueur de chocolat ",$AA46)),ISNUMBER(SEARCH(" liqueur de caramel ",$AA46)),ISNUMBER(SEARCH(" sauce nappage chocolat ",$AA46)),ISNUMBER(SEARCH(" biscuit decoratif ",$AA46)),ISNUMBER(SEARCH(" white russian ",$AA46)),ISNUMBER(SEARCH(" grasshopper ",$AA46)),ISNUMBER(SEARCH(" irish coffee ",$AA46)),ISNUMBER(SEARCH(" ramos gin fizz ",$AA46)),ISNUMBER(SEARCH(" egg nog ",$AA46)),ISNUMBER(SEARCH(" eggnog ",$AA46)))),"?",""))))),"")</f>
        <v/>
      </c>
      <c r="L46" s="233" t="str">
        <f>IF(46=46,IF($B46="","",IF(OR(BQ46="X",OR(OR(TRIM($AA46)="puree pate d amande",TRIM($AA46)="pate puree d amande",TRIM($AA46)="puree d amande",TRIM($AA46)="pate d amande",TRIM($AA46)="pate puree de noisette",TRIM($AA46)="puree pate de noisette",TRIM($AA46)="puree de noisette",TRIM($AA46)="pate de noisette"),ISNUMBER(SEARCH(" macaron ",$AA46)),TRIM($AA46)="fruits a coque")),"X",IF(OR(BQ46="?",OR(ISNUMBER(SEARCH(" sirop d orgeat ",$AA46)),ISNUMBER(SEARCH(" orgeat ",$AA46)),ISNUMBER(SEARCH(" amaretto ",$AA46)))),"?",""))),"")</f>
        <v/>
      </c>
      <c r="M46" s="233" t="str">
        <f>IF(46=46,IF($B46="","",IF(OR(OR(TRIM($AA46)="puree pate d amande",TRIM($AA46)="pate puree d amande",TRIM($AA46)="puree d amande",TRIM($AA46)="pate d amande",TRIM($AA46)="pate puree de noisette",TRIM($AA46)="puree pate de noisette",TRIM($AA46)="puree de noisette",TRIM($AA46)="pate de noisette"),OR(TRIM($AA46)="tahini puree de sesame",TRIM($AA46)="tahini",TRIM($AA46)="puree de sesame")),"",IF(BT46="X","X",IF(OR(BT46="?",ISNUMBER(SEARCH(" bloody mary ",$AA46))),"?","")))),"")</f>
        <v/>
      </c>
      <c r="N46" s="233" t="str">
        <f>IF(46=46,IF($B46="","",IF(OR(OR(TRIM($AA46)="puree pate d amande",TRIM($AA46)="pate puree d amande",TRIM($AA46)="puree d amande",TRIM($AA46)="pate d amande",TRIM($AA46)="pate puree de noisette",TRIM($AA46)="puree pate de noisette",TRIM($AA46)="puree de noisette",TRIM($AA46)="pate de noisette"),OR(TRIM($AA46)="tahini puree de sesame",TRIM($AA46)="tahini",TRIM($AA46)="puree de sesame")),"",IF(BW46="X","X",IF(OR(BW46="?",ISNUMBER(SEARCH(" bloody mary ",$AA46))),"?","")))),"")</f>
        <v/>
      </c>
      <c r="O46" s="233" t="str">
        <f>IF(46=46,IF($B46="","",BZ46),"")</f>
        <v/>
      </c>
      <c r="P46" s="233" t="str">
        <f>IF(46=46,IF($B46="","",CC46),"")</f>
        <v/>
      </c>
      <c r="Q46" s="233" t="str">
        <f>IF(46=46,IF($B46="","",CF46),"")</f>
        <v/>
      </c>
      <c r="R46" s="233" t="str">
        <f>IF(46=46,IF($B46="","",IF(TRIM($AA46)="fruits a coque","",IF(CL46="X","X",IF(OR(CL46="?",OR(ISNUMBER(SEARCH(" clamato ",$AA46)),ISNUMBER(SEARCH(" bloody caesar ",$AA46)))),"?","")))),"")</f>
        <v/>
      </c>
      <c r="S46" s="234" t="str">
        <f>IF(46=46,IF($B46="","",IF(E46="?",""&amp;"Céréales contenant du gluten","")&amp;IF(F46="?",IF(COUNTIF($E46:$E46,"~?")&gt;0,", ","")&amp;"Crustacés","")&amp;IF(G46="?",IF(COUNTIF($E46:$F46,"~?")&gt;0,", ","")&amp;"Œufs","")&amp;IF(H46="?",IF(COUNTIF($E46:$G46,"~?")&gt;0,", ","")&amp;"Poissons","")&amp;IF(I46="?",IF(COUNTIF($E46:$H46,"~?")&gt;0,", ","")&amp;"Arachides","")&amp;IF(J46="?",IF(COUNTIF($E46:$I46,"~?")&gt;0,", ","")&amp;"Soja","")&amp;IF(K46="?",IF(COUNTIF($E46:$J46,"~?")&gt;0,", ","")&amp;"Lait","")&amp;IF(L46="?",IF(COUNTIF($E46:$K46,"~?")&gt;0,", ","")&amp;"Fruits à coque","")&amp;IF(M46="?",IF(COUNTIF($E46:$L46,"~?")&gt;0,", ","")&amp;"Céleri","")&amp;IF(N46="?",IF(COUNTIF($E46:$M46,"~?")&gt;0,", ","")&amp;"Moutarde","")&amp;IF(O46="?",IF(COUNTIF($E46:$N46,"~?")&gt;0,", ","")&amp;"Sésame","")&amp;IF(P46="?",IF(COUNTIF($E46:$O46,"~?")&gt;0,", ","")&amp;"Sulfites","")&amp;IF(Q46="?",IF(COUNTIF($E46:$P46,"~?")&gt;0,", ","")&amp;"Lupin","")&amp;IF(R46="?",IF(COUNTIF($E46:$Q46,"~?")&gt;0,", ","")&amp;"Mollusques","")),"")</f>
        <v/>
      </c>
      <c r="U46" s="209" t="str">
        <f>IF(46=46,IF($B46="","",$B46),"")</f>
        <v>Sirop aromatisé industriel</v>
      </c>
      <c r="V46" s="209" t="str">
        <f>IF(46=46,LOWER(CLEAN(SUBSTITUTE(SUBSTITUTE(SUBSTITUTE(SUBSTITUTE($U46,CHAR(160)," ")," "," "),CHAR(10)," "),CHAR(13)," "))),"")</f>
        <v>sirop aromatisé industriel</v>
      </c>
      <c r="W46" s="209" t="str">
        <f>IF(46=46,SUBSTITUTE(SUBSTITUTE(SUBSTITUTE(SUBSTITUTE(SUBSTITUTE(SUBSTITUTE(SUBSTITUTE(SUBSTITUTE(SUBSTITUTE(SUBSTITUTE(SUBSTITUTE(SUBSTITUTE($V46,"œ","oe"),"æ","ae"),"à","a"),"á","a"),"â","a"),"ä","a"),"ã","a"),"ç","c"),"è","e"),"é","e"),"ê","e"),"ë","e"),"")</f>
        <v>sirop aromatise industriel</v>
      </c>
      <c r="X46" s="209" t="str">
        <f>IF(46=46,SUBSTITUTE(SUBSTITUTE(SUBSTITUTE(SUBSTITUTE(SUBSTITUTE(SUBSTITUTE(SUBSTITUTE(SUBSTITUTE(SUBSTITUTE(SUBSTITUTE(SUBSTITUTE(SUBSTITUTE(SUBSTITUTE(SUBSTITUTE(SUBSTITUTE(SUBSTITUTE($W46,"ì","i"),"í","i"),"î","i"),"ï","i"),"ñ","n"),"ò","o"),"ó","o"),"ô","o"),"ö","o"),"õ","o"),"ù","u"),"ú","u"),"û","u"),"ü","u"),"ý","y"),"ÿ","y"),"")</f>
        <v>sirop aromatise industriel</v>
      </c>
      <c r="Y46" s="209" t="str">
        <f>IF(46=46,SUBSTITUTE(SUBSTITUTE(SUBSTITUTE(SUBSTITUTE(SUBSTITUTE(SUBSTITUTE(SUBSTITUTE(SUBSTITUTE(SUBSTITUTE(SUBSTITUTE(SUBSTITUTE(SUBSTITUTE(SUBSTITUTE(SUBSTITUTE($X46,"’"," "),"`"," "),"–"," "),"—"," "),"-"," "),"'"," "),"/"," "),"_"," "),","," "),"."," "),"("," "),")"," "),";"," "),":"," "),"")</f>
        <v>sirop aromatise industriel</v>
      </c>
      <c r="Z46" s="209" t="str">
        <f>IF(46=46,SUBSTITUTE(SUBSTITUTE(SUBSTITUTE(SUBSTITUTE(SUBSTITUTE(SUBSTITUTE(SUBSTITUTE(SUBSTITUTE(SUBSTITUTE(SUBSTITUTE(SUBSTITUTE(SUBSTITUTE(SUBSTITUTE(SUBSTITUTE(SUBSTITUTE($Y46,"!"," "),"?"," "),"+"," "),"*"," "),"&amp;"," "),"["," "),"]"," "),"{"," "),"}"," "),"%"," "),"="," "),"\"," "),"|"," "),"&lt;"," "),"&gt;"," "),"")</f>
        <v>sirop aromatise industriel</v>
      </c>
      <c r="AA46" s="209" t="str">
        <f>IF(46=46," "&amp;TRIM(SUBSTITUTE(SUBSTITUTE(SUBSTITUTE(SUBSTITUTE(SUBSTITUTE(SUBSTITUTE($Z46,CHAR(34)," "),"  "," "),"  "," "),"  "," "),"  "," "),"  "," "))&amp;" ","")</f>
        <v xml:space="preserve"> sirop aromatise industriel </v>
      </c>
      <c r="AB46" s="209">
        <f>IF(46=46,IF($U46="","",SUMPRODUCT(--ISNUMBER(SEARCH(" "&amp;$CR$2:$CR$101&amp;" ",$AD46)))),"")</f>
        <v>0</v>
      </c>
      <c r="AC46" s="209">
        <f>IF(46=46,IF($U46="","",SUMPRODUCT(--ISNUMBER(SEARCH(" "&amp;$CR$102:$CR$151&amp;" ",$AD46)))),"")</f>
        <v>0</v>
      </c>
      <c r="AD46" s="209" t="str">
        <f t="shared" si="1"/>
        <v xml:space="preserve"> sirop aromatise industriel </v>
      </c>
      <c r="AE46" s="209">
        <f t="shared" si="2"/>
        <v>0</v>
      </c>
      <c r="AF46" s="209" t="str">
        <f>IF(46=46,IF($U46="","",IF(SUM(AB46:AC46)+SUMPRODUCT(--ISNUMBER(SEARCH(" "&amp;$CR$2418:$CR$2420&amp;" ",$AD46)))&gt;0,"X",IF(AE46&gt;0,"?",""))),"")</f>
        <v/>
      </c>
      <c r="AG46" s="209">
        <f>IF(46=46,IF($U46="","",SUMPRODUCT(--ISNUMBER(SEARCH(" "&amp;$CR$206:$CR$305&amp;" ",$AA46)))),"")</f>
        <v>0</v>
      </c>
      <c r="AH46" s="209">
        <f>IF(46=46,IF($U46="","",SUMPRODUCT(--ISNUMBER(SEARCH(" "&amp;$CR$306:$CR$340&amp;" ",$AA46)))),"")</f>
        <v>0</v>
      </c>
      <c r="AI46" s="209" t="str">
        <f>IF(46=46,IF($U46="","",IF((SUM(AG46:AH46))-(0)&gt;0,"X",IF((0)-(0)&gt;0,"?",""))),"")</f>
        <v/>
      </c>
      <c r="AJ46" s="209">
        <f>IF(46=46,IF($U46="","",SUMPRODUCT(--ISNUMBER(SEARCH(" "&amp;$CR$341:$CR$398&amp;" ",$AA46)))),"")</f>
        <v>0</v>
      </c>
      <c r="AK46" s="209">
        <f>IF(46=46,IF($U46="","",SUMPRODUCT(--ISNUMBER(SEARCH(" "&amp;$CR$399:$CR$426&amp;" ",$AL46)))+SUMPRODUCT(--ISNUMBER(SEARCH(" "&amp;$CR$2440:$CR$2453&amp;" ",$AL46)))),"")</f>
        <v>0</v>
      </c>
      <c r="AL46" s="209" t="str">
        <f>IF(46=46,IF($U46="","",SUBSTITUTE(SUBSTITUTE(SUBSTITUTE(SUBSTITUTE(SUBSTITUTE(SUBSTITUTE(SUBSTITUTE(SUBSTITUTE(SUBSTITUTE(SUBSTITUTE(SUBSTITUTE(SUBSTITUTE(SUBSTITUTE(SUBSTITUTE($AA46,"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sirop aromatise industriel </v>
      </c>
      <c r="AM46" s="209" t="str">
        <f>IF(46=46,IF($U46="","",IF(AJ46&gt;0,"X",IF(AK46&gt;0,"?",""))),"")</f>
        <v/>
      </c>
      <c r="AN46" s="209">
        <f>IF(46=46,IF($U46="","",SUMPRODUCT(--ISNUMBER(SEARCH(" "&amp;$CR$436:$CR$535&amp;" ",$AX46)))),"")</f>
        <v>0</v>
      </c>
      <c r="AO46" s="209">
        <f>IF(46=46,IF($U46="","",SUMPRODUCT(--ISNUMBER(SEARCH(" "&amp;$CR$536:$CR$635&amp;" ",$AX46)))),"")</f>
        <v>0</v>
      </c>
      <c r="AP46" s="209">
        <f>IF(46=46,IF($U46="","",SUMPRODUCT(--ISNUMBER(SEARCH(" "&amp;$CR$636:$CR$735&amp;" ",$AX46)))),"")</f>
        <v>0</v>
      </c>
      <c r="AQ46" s="209">
        <f>IF(46=46,IF($U46="","",SUMPRODUCT(--ISNUMBER(SEARCH(" "&amp;$CR$736:$CR$835&amp;" ",$AX46)))),"")</f>
        <v>0</v>
      </c>
      <c r="AR46" s="209">
        <f>IF(46=46,IF($U46="","",SUMPRODUCT(--ISNUMBER(SEARCH(" "&amp;$CR$836:$CR$935&amp;" ",$AX46)))),"")</f>
        <v>0</v>
      </c>
      <c r="AS46" s="209">
        <f>IF(46=46,IF($U46="","",SUMPRODUCT(--ISNUMBER(SEARCH(" "&amp;$CR$936:$CR$1035&amp;" ",$AX46)))),"")</f>
        <v>0</v>
      </c>
      <c r="AT46" s="209">
        <f>IF(46=46,IF($U46="","",SUMPRODUCT(--ISNUMBER(SEARCH(" "&amp;$CR$1036:$CR$1135&amp;" ",$AX46)))),"")</f>
        <v>0</v>
      </c>
      <c r="AU46" s="209">
        <f>IF(46=46,IF($U46="","",SUMPRODUCT(--ISNUMBER(SEARCH(" "&amp;$CR$1136:$CR$1235&amp;" ",$AX46)))),"")</f>
        <v>0</v>
      </c>
      <c r="AV46" s="209">
        <f>IF(46=46,IF($U46="","",SUMPRODUCT(--ISNUMBER(SEARCH(" "&amp;$CR$1236:$CR$1335&amp;" ",$AX46)))),"")</f>
        <v>0</v>
      </c>
      <c r="AW46" s="209">
        <f>IF(46=46,IF($U46="","",SUMPRODUCT(--ISNUMBER(SEARCH(" "&amp;$CR$1336:$CR$1363&amp;" ",$AX46)))),"")</f>
        <v>0</v>
      </c>
      <c r="AX46" s="209" t="str">
        <f>IF(46=46,IF($U46="","",SUBSTITUTE(SUBSTITUTE(SUBSTITUTE(SUBSTITUTE(SUBSTITUTE(SUBSTITUTE(SUBSTITUTE(SUBSTITUTE(SUBSTITUTE($AA46,"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sirop aromatise industriel </v>
      </c>
      <c r="AY46" s="209">
        <f>IF(46=46,IF($U46="","",SUMPRODUCT(--ISNUMBER(SEARCH(" "&amp;$CR$1373:$CR$1383&amp;" ",$AX46)))),"")</f>
        <v>0</v>
      </c>
      <c r="AZ46" s="209" t="str">
        <f>IF(46=46,IF($U46="","",IF(SUM(AN46:AW46)+SUMPRODUCT(--ISNUMBER(SEARCH(" "&amp;$CR$2421:$CR$2422&amp;" ",$AX46)))&gt;0,"X",IF(AY46&gt;0,"?",""))),"")</f>
        <v/>
      </c>
      <c r="BA46" s="209">
        <f>IF(46=46,IF($U46="","",SUMPRODUCT(--ISNUMBER(SEARCH(" "&amp;$CR$1384:$CR$1404&amp;" ",$AA46)))),"")</f>
        <v>0</v>
      </c>
      <c r="BB46" s="209" t="str">
        <f>IF(46=46,IF($U46="","",IF((BA46)-(0)&gt;0,"X",IF((0)-(0)&gt;0,"?",""))),"")</f>
        <v/>
      </c>
      <c r="BC46" s="209">
        <f>IF(46=46,IF($U46="","",SUMPRODUCT(--ISNUMBER(SEARCH(" "&amp;$CR$1405:$CR$1442&amp;" ",$BD46)))),"")</f>
        <v>0</v>
      </c>
      <c r="BD46" s="209" t="str">
        <f>IF(46=46,IF($U46="","",SUBSTITUTE(SUBSTITUTE($AA46," "&amp;$CR$1443&amp;" "," ")," "&amp;$CR$1444&amp;" "," ")),"")</f>
        <v xml:space="preserve"> sirop aromatise industriel </v>
      </c>
      <c r="BE46" s="209">
        <f>IF(46=46,IF($U46="","",SUMPRODUCT(--ISNUMBER(SEARCH(" "&amp;$CR$1445:$CR$1455&amp;" ",$BD46)))),"")</f>
        <v>0</v>
      </c>
      <c r="BF46" s="209" t="str">
        <f>IF(46=46,IF($U46="","",IF(BC46&gt;0,"X",IF(BE46&gt;0,"?",""))),"")</f>
        <v/>
      </c>
      <c r="BG46" s="209">
        <f>IF(46=46,IF($U46="","",SUMPRODUCT(--ISNUMBER(SEARCH(" "&amp;$CR$1456:$CR$1555&amp;" ",$BJ46)))),"")</f>
        <v>0</v>
      </c>
      <c r="BH46" s="209">
        <f>IF(46=46,IF($U46="","",SUMPRODUCT(--ISNUMBER(SEARCH(" "&amp;$CR$1556:$CR$1655&amp;" ",$BJ46)))),"")</f>
        <v>0</v>
      </c>
      <c r="BI46" s="209">
        <f>IF(46=46,IF($U46="","",SUMPRODUCT(--ISNUMBER(SEARCH(" "&amp;$CR$1656:$CR$1739&amp;" ",$BJ46)))),"")</f>
        <v>0</v>
      </c>
      <c r="BJ46" s="209" t="str">
        <f>IF(46=46,IF($U46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46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sirop aromatise industriel </v>
      </c>
      <c r="BK46" s="209">
        <f>IF(46=46,IF($U46="","",SUMPRODUCT(--ISNUMBER(SEARCH(" "&amp;$CR$1790:$CR$1869&amp;" ",$BL46)))+SUMPRODUCT(--ISNUMBER(SEARCH(" "&amp;$CR$2440:$CR$2453&amp;" ",$BL46)))),"")</f>
        <v>0</v>
      </c>
      <c r="BL46" s="209" t="str">
        <f>IF(46=46,IF($U46="","",SUBSTITUTE(SUBSTITUTE(SUBSTITUTE(SUBSTITUTE(SUBSTITUTE(SUBSTITUTE(SUBSTITUTE(SUBSTITUTE(SUBSTITUTE(SUBSTITUTE(SUBSTITUTE(SUBSTITUTE(SUBSTITUTE($BJ46,"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sirop aromatise industriel </v>
      </c>
      <c r="BM46" s="209" t="str">
        <f>IF(46=46,IF($U46="","",IF(SUM(BG46:BI46)+SUMPRODUCT(--ISNUMBER(SEARCH(" "&amp;$CR$2423:$CR$2424&amp;" ",$BJ46)))&gt;0,"X",IF(BK46&gt;0,"?",""))),"")</f>
        <v/>
      </c>
      <c r="BN46" s="209">
        <f>IF(46=46,IF($U46="","",SUMPRODUCT(--ISNUMBER(SEARCH(" "&amp;$CR$1879:$CR$1936&amp;" ",$BO46)))),"")</f>
        <v>0</v>
      </c>
      <c r="BO46" s="209" t="str">
        <f>IF(46=46,IF($U46="","",SUBSTITUTE(SUBSTITUTE(SUBSTITUTE(SUBSTITUTE(SUBSTITUTE(SUBSTITUTE(SUBSTITUTE(SUBSTITUTE(SUBSTITUTE(SUBSTITUTE(SUBSTITUTE(SUBSTITUTE(SUBSTITUTE(SUBSTITUTE(SUBSTITUTE(SUBSTITUTE(SUBSTITUTE(SUBSTITUTE(SUBSTITUTE(SUBSTITUTE(SUBSTITUTE(SUBSTITUTE(SUBSTITUTE($AA46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sirop aromatise industriel </v>
      </c>
      <c r="BP46" s="209">
        <f>IF(46=46,IF($U46="","",SUMPRODUCT(--ISNUMBER(SEARCH(" "&amp;$CR$1960:$CR$1976&amp;" ",$BO46)))),"")</f>
        <v>0</v>
      </c>
      <c r="BQ46" s="209" t="str">
        <f>IF(46=46,IF($U46="","",IF(BN46&gt;0,"X",IF(BP46&gt;0,"?",""))),"")</f>
        <v/>
      </c>
      <c r="BR46" s="209">
        <f>IF(46=46,IF($U46="","",SUMPRODUCT(--ISNUMBER(SEARCH(" "&amp;$CR$1977:$CR$1990&amp;" ",$AA46)))),"")</f>
        <v>0</v>
      </c>
      <c r="BS46" s="209">
        <f>IF(46=46,IF($U46="","",SUMPRODUCT(--ISNUMBER(SEARCH(" "&amp;$CR$1991:$CR$2005&amp;" ",$AA46)))),"")</f>
        <v>0</v>
      </c>
      <c r="BT46" s="209" t="str">
        <f>IF(46=46,IF($U46="","",IF((BR46)-(0)&gt;0,"X",IF((BS46)-(0)&gt;0,"?",""))),"")</f>
        <v/>
      </c>
      <c r="BU46" s="209">
        <f>IF(46=46,IF($U46="","",SUMPRODUCT(--ISNUMBER(SEARCH(" "&amp;$CR$2006:$CR$2023&amp;" ",$AA46)))),"")</f>
        <v>0</v>
      </c>
      <c r="BV46" s="209">
        <f>IF(46=46,IF($U46="","",SUMPRODUCT(--ISNUMBER(SEARCH(" "&amp;$CR$2024:$CR$2038&amp;" ",$AA46)))),"")</f>
        <v>0</v>
      </c>
      <c r="BW46" s="209" t="str">
        <f>IF(46=46,IF($U46="","",IF((BU46)-(0)&gt;0,"X",IF((BV46)-(0)&gt;0,"?",""))),"")</f>
        <v/>
      </c>
      <c r="BX46" s="209">
        <f>IF(46=46,IF($U46="","",SUMPRODUCT(--ISNUMBER(SEARCH(" "&amp;$CR$2039:$CR$2057&amp;" ",$AA46)))),"")</f>
        <v>0</v>
      </c>
      <c r="BY46" s="209">
        <f>IF(46=46,IF($U46="","",SUMPRODUCT(--ISNUMBER(SEARCH(" "&amp;$CR$2058:$CR$2072&amp;" ",$AA46)))),"")</f>
        <v>0</v>
      </c>
      <c r="BZ46" s="209" t="str">
        <f>IF(46=46,IF($U46="","",IF((BX46)-(0)&gt;0,"X",IF((BY46)-(0)&gt;0,"?",""))),"")</f>
        <v/>
      </c>
      <c r="CA46" s="209">
        <f>IF(46=46,IF($U46="","",SUMPRODUCT(--ISNUMBER(SEARCH(" "&amp;$CR$2073:$CR$2093&amp;" ",$AA46)))),"")</f>
        <v>0</v>
      </c>
      <c r="CB46" s="209">
        <f>IF(46=46,IF($U46="","",SUMPRODUCT(--ISNUMBER(SEARCH(" "&amp;$CR$2094:$CR$2133&amp;" ",SUBSTITUTE(SUBSTITUTE($AA46," "&amp;$CR$1367&amp;" "," ")," "&amp;$CR$1366&amp;" "," "))))+--ISNUMBER(SEARCH("poiré",$V46))),"")</f>
        <v>0</v>
      </c>
      <c r="CC46" s="209" t="str">
        <f>IF(46=46,IF($U46="","",IF(OR(CA46&gt;0,ISNUMBER(SEARCH(" vinaigre de vin ",$AA46)),ISNUMBER(SEARCH(" vinaigre au vin ",$AA46))),"X",IF(CB46&gt;0,"?",""))),"")</f>
        <v/>
      </c>
      <c r="CD46" s="209">
        <f>IF(46=46,IF($U46="","",SUMPRODUCT(--ISNUMBER(SEARCH(" "&amp;$CR$2134:$CR$2146&amp;" ",$AA46)))),"")</f>
        <v>0</v>
      </c>
      <c r="CE46" s="209">
        <f>IF(46=46,IF($U46="","",SUMPRODUCT(--ISNUMBER(SEARCH(" "&amp;$CR$2147:$CR$2152&amp;" ",$AA46)))),"")</f>
        <v>0</v>
      </c>
      <c r="CF46" s="209" t="str">
        <f>IF(46=46,IF($U46="","",IF((CD46)-(0)&gt;0,"X",IF((CE46)-(0)&gt;0,"?",""))),"")</f>
        <v/>
      </c>
      <c r="CG46" s="209">
        <f>IF(46=46,IF($U46="","",SUMPRODUCT(--ISNUMBER(SEARCH(" "&amp;$CR$2153:$CR$2252&amp;" ",$CJ46)))),"")</f>
        <v>0</v>
      </c>
      <c r="CH46" s="209">
        <f>IF(46=46,IF($U46="","",SUMPRODUCT(--ISNUMBER(SEARCH(" "&amp;$CR$2253:$CR$2352&amp;" ",$CJ46)))),"")</f>
        <v>0</v>
      </c>
      <c r="CI46" s="209">
        <f>IF(46=46,IF($U46="","",SUMPRODUCT(--ISNUMBER(SEARCH(" "&amp;$CR$2353:$CR$2395&amp;" ",$CJ46)))),"")</f>
        <v>0</v>
      </c>
      <c r="CJ46" s="209" t="str">
        <f>IF(46=46,IF($U46="","",SUBSTITUTE(SUBSTITUTE(SUBSTITUTE(SUBSTITUTE(SUBSTITUTE(SUBSTITUTE(SUBSTITUTE(SUBSTITUTE(SUBSTITUTE(SUBSTITUTE(SUBSTITUTE(SUBSTITUTE(SUBSTITUTE(SUBSTITUTE(SUBSTITUTE(SUBSTITUTE($AA46,"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sirop aromatise industriel </v>
      </c>
      <c r="CK46" s="209">
        <f>IF(46=46,IF($U46="","",SUMPRODUCT(--ISNUMBER(SEARCH(" "&amp;$CR$2412:$CR$2416&amp;" ",$CJ46)))),"")</f>
        <v>0</v>
      </c>
      <c r="CL46" s="209" t="str">
        <f>IF(46=46,IF($U46="","",IF(SUM(CG46:CI46)&gt;0,"X",IF(CK46&gt;0,"?",""))),"")</f>
        <v/>
      </c>
      <c r="CM46" s="210"/>
      <c r="CN46" s="213" t="s">
        <v>1069</v>
      </c>
      <c r="CO46" s="213" t="s">
        <v>878</v>
      </c>
      <c r="CP46" s="213" t="s">
        <v>879</v>
      </c>
      <c r="CQ46" s="213" t="s">
        <v>1070</v>
      </c>
      <c r="CR46" s="213" t="s">
        <v>1070</v>
      </c>
      <c r="CS46" s="213" t="s">
        <v>881</v>
      </c>
      <c r="CT46" s="213" t="s">
        <v>882</v>
      </c>
      <c r="CU46" s="213" t="s">
        <v>883</v>
      </c>
      <c r="CV46" s="214" t="s">
        <v>884</v>
      </c>
      <c r="CX46" s="212">
        <v>1</v>
      </c>
    </row>
    <row r="47" spans="1:102" ht="21" customHeight="1">
      <c r="A47" s="229">
        <v>41</v>
      </c>
      <c r="B47" s="230" t="s">
        <v>6620</v>
      </c>
      <c r="C47" s="231" t="str">
        <f t="shared" si="0"/>
        <v>Purée / coulis de fruits industriel ?</v>
      </c>
      <c r="D47" s="232" t="str">
        <f>IF(47=47,IF($B47="","",IF(E47="X",""&amp;"Céréales contenant du gluten","")&amp;IF(F47="X",IF(COUNTIF($E47:$E47,"X")&gt;0,", ","")&amp;"Crustacés","")&amp;IF(G47="X",IF(COUNTIF($E47:$F47,"X")&gt;0,", ","")&amp;"Œufs","")&amp;IF(H47="X",IF(COUNTIF($E47:$G47,"X")&gt;0,", ","")&amp;"Poissons","")&amp;IF(I47="X",IF(COUNTIF($E47:$H47,"X")&gt;0,", ","")&amp;"Arachides","")&amp;IF(J47="X",IF(COUNTIF($E47:$I47,"X")&gt;0,", ","")&amp;"Soja","")&amp;IF(K47="X",IF(COUNTIF($E47:$J47,"X")&gt;0,", ","")&amp;"Lait","")&amp;IF(L47="X",IF(COUNTIF($E47:$K47,"X")&gt;0,", ","")&amp;"Fruits à coque","")&amp;IF(M47="X",IF(COUNTIF($E47:$L47,"X")&gt;0,", ","")&amp;"Céleri","")&amp;IF(N47="X",IF(COUNTIF($E47:$M47,"X")&gt;0,", ","")&amp;"Moutarde","")&amp;IF(O47="X",IF(COUNTIF($E47:$N47,"X")&gt;0,", ","")&amp;"Sésame","")&amp;IF(P47="X",IF(COUNTIF($E47:$O47,"X")&gt;0,", ","")&amp;"Sulfites","")&amp;IF(Q47="X",IF(COUNTIF($E47:$P47,"X")&gt;0,", ","")&amp;"Lupin","")&amp;IF(R47="X",IF(COUNTIF($E47:$Q47,"X")&gt;0,", ","")&amp;"Mollusques","")),"")</f>
        <v/>
      </c>
      <c r="E47" s="233" t="str">
        <f>IF(47=47,IF($B47="","",IF(OR(ISNUMBER(SEARCH(" biere sans gluten ",$AA47)),ISNUMBER(SEARCH(" gluten free beer ",$AA47)),ISNUMBER(SEARCH(" beer gluten free ",$AA47))),"",IF(AF47="X","X",IF(OR(AF47="?",OR(ISNUMBER(SEARCH(" worcestershire ",$AA47)),ISNUMBER(SEARCH(" bloody mary ",$AA47)))),"?","")))),"")</f>
        <v/>
      </c>
      <c r="F47" s="233" t="str">
        <f>IF(47=47,IF($B47="","",AI47),"")</f>
        <v/>
      </c>
      <c r="G47" s="233" t="str">
        <f>IF(47=47,IF($B47="","",IF(OR(TRIM($AA47)="puree pate d amande",TRIM($AA47)="pate puree d amande",TRIM($AA47)="puree d amande",TRIM($AA47)="pate d amande",TRIM($AA47)="pate puree de noisette",TRIM($AA47)="puree pate de noisette",TRIM($AA47)="puree de noisette",TRIM($AA47)="pate de noisette"),"",IF(OR(AM47="X",OR(ISNUMBER(SEARCH(" macaron ",$AA47)),ISNUMBER(SEARCH(" egg nog ",$AA47)),ISNUMBER(SEARCH(" eggnog ",$AA47)))),"X",IF(OR(AM47="?",OR(ISNUMBER(SEARCH(" biscuit decoratif ",$AA47)),ISNUMBER(SEARCH(" whisky sour ",$AA47)),ISNUMBER(SEARCH(" whiskey sour ",$AA47)),ISNUMBER(SEARCH(" amaretto sour ",$AA47)),ISNUMBER(SEARCH(" pisco sour ",$AA47)),ISNUMBER(SEARCH(" clover club ",$AA47)),ISNUMBER(SEARCH(" ramos gin fizz ",$AA47)))),"?","")))),"")</f>
        <v/>
      </c>
      <c r="H47" s="233" t="str">
        <f>IF(47=47,IF($B47="","",IF(ISNUMBER(SEARCH(" colin ",$AA47)),"X",IF(AZ47="X","X",IF(OR(AZ47="?",OR(ISNUMBER(SEARCH(" worcestershire ",$AA47)),ISNUMBER(SEARCH(" bloody mary ",$AA47)))),"?","")))),"")</f>
        <v/>
      </c>
      <c r="I47" s="233" t="str">
        <f>IF(47=47,IF($B47="","",BB47),"")</f>
        <v/>
      </c>
      <c r="J47" s="233" t="str">
        <f>IF(47=47,IF($B47="","",BF47),"")</f>
        <v/>
      </c>
      <c r="K47" s="233" t="str">
        <f>IF(47=47,IF($B47="","",IF(OR(OR(TRIM($AA47)="puree pate d amande",TRIM($AA47)="pate puree d amande",TRIM($AA47)="puree d amande",TRIM($AA47)="pate d amande",TRIM($AA47)="pate puree de noisette",TRIM($AA47)="puree pate de noisette",TRIM($AA47)="puree de noisette",TRIM($AA47)="pate de noisette"),OR(TRIM($AA47)="beurre puree d arachide",TRIM($AA47)="beurre d arachide",TRIM($AA47)="puree d arachide"),OR(TRIM($AA47)="tahini puree de sesame",TRIM($AA47)="tahini",TRIM($AA47)="puree de sesame")),"",IF(OR(TRIM($AA47)="creme de cassis",TRIM($AA47)="creme de menthe",TRIM($AA47)="creme de cacao",TRIM($AA47)="creme de mure",TRIM($AA47)="creme de framboise",TRIM($AA47)="creme de peche",TRIM($AA47)="creme de banane",TRIM($AA47)="liqueur creme de coco",TRIM($AA47)="creme de coco",TRIM($AA47)="spiritueux aromatise arrange creme de spiritueux"),"?",IF(OR(BM47="X",OR(ISNUMBER(SEARCH(" baileys ",$AA47)),ISNUMBER(SEARCH(" irish cream ",$AA47)),ISNUMBER(SEARCH(" creme de whisky ",$AA47)))),"X",IF(OR(BM47="?",OR(OR(TRIM($AA47)="creme de cassis",TRIM($AA47)="creme de menthe",TRIM($AA47)="creme de cacao",TRIM($AA47)="creme de mure",TRIM($AA47)="creme de framboise",TRIM($AA47)="creme de peche",TRIM($AA47)="creme de banane",TRIM($AA47)="liqueur creme de coco",TRIM($AA47)="creme de coco",TRIM($AA47)="spiritueux aromatise arrange creme de spiritueux"),ISNUMBER(SEARCH(" advocaat ",$AA47)),ISNUMBER(SEARCH(" liqueur aux oeufs ",$AA47)),ISNUMBER(SEARCH(" liqueur de chocolat ",$AA47)),ISNUMBER(SEARCH(" liqueur de caramel ",$AA47)),ISNUMBER(SEARCH(" sauce nappage chocolat ",$AA47)),ISNUMBER(SEARCH(" biscuit decoratif ",$AA47)),ISNUMBER(SEARCH(" white russian ",$AA47)),ISNUMBER(SEARCH(" grasshopper ",$AA47)),ISNUMBER(SEARCH(" irish coffee ",$AA47)),ISNUMBER(SEARCH(" ramos gin fizz ",$AA47)),ISNUMBER(SEARCH(" egg nog ",$AA47)),ISNUMBER(SEARCH(" eggnog ",$AA47)))),"?",""))))),"")</f>
        <v>?</v>
      </c>
      <c r="L47" s="233" t="str">
        <f>IF(47=47,IF($B47="","",IF(OR(BQ47="X",OR(OR(TRIM($AA47)="puree pate d amande",TRIM($AA47)="pate puree d amande",TRIM($AA47)="puree d amande",TRIM($AA47)="pate d amande",TRIM($AA47)="pate puree de noisette",TRIM($AA47)="puree pate de noisette",TRIM($AA47)="puree de noisette",TRIM($AA47)="pate de noisette"),ISNUMBER(SEARCH(" macaron ",$AA47)),TRIM($AA47)="fruits a coque")),"X",IF(OR(BQ47="?",OR(ISNUMBER(SEARCH(" sirop d orgeat ",$AA47)),ISNUMBER(SEARCH(" orgeat ",$AA47)),ISNUMBER(SEARCH(" amaretto ",$AA47)))),"?",""))),"")</f>
        <v/>
      </c>
      <c r="M47" s="233" t="str">
        <f>IF(47=47,IF($B47="","",IF(OR(OR(TRIM($AA47)="puree pate d amande",TRIM($AA47)="pate puree d amande",TRIM($AA47)="puree d amande",TRIM($AA47)="pate d amande",TRIM($AA47)="pate puree de noisette",TRIM($AA47)="puree pate de noisette",TRIM($AA47)="puree de noisette",TRIM($AA47)="pate de noisette"),OR(TRIM($AA47)="tahini puree de sesame",TRIM($AA47)="tahini",TRIM($AA47)="puree de sesame")),"",IF(BT47="X","X",IF(OR(BT47="?",ISNUMBER(SEARCH(" bloody mary ",$AA47))),"?","")))),"")</f>
        <v/>
      </c>
      <c r="N47" s="233" t="str">
        <f>IF(47=47,IF($B47="","",IF(OR(OR(TRIM($AA47)="puree pate d amande",TRIM($AA47)="pate puree d amande",TRIM($AA47)="puree d amande",TRIM($AA47)="pate d amande",TRIM($AA47)="pate puree de noisette",TRIM($AA47)="puree pate de noisette",TRIM($AA47)="puree de noisette",TRIM($AA47)="pate de noisette"),OR(TRIM($AA47)="tahini puree de sesame",TRIM($AA47)="tahini",TRIM($AA47)="puree de sesame")),"",IF(BW47="X","X",IF(OR(BW47="?",ISNUMBER(SEARCH(" bloody mary ",$AA47))),"?","")))),"")</f>
        <v/>
      </c>
      <c r="O47" s="233" t="str">
        <f>IF(47=47,IF($B47="","",BZ47),"")</f>
        <v/>
      </c>
      <c r="P47" s="233" t="str">
        <f>IF(47=47,IF($B47="","",CC47),"")</f>
        <v/>
      </c>
      <c r="Q47" s="233" t="str">
        <f>IF(47=47,IF($B47="","",CF47),"")</f>
        <v/>
      </c>
      <c r="R47" s="233" t="str">
        <f>IF(47=47,IF($B47="","",IF(TRIM($AA47)="fruits a coque","",IF(CL47="X","X",IF(OR(CL47="?",OR(ISNUMBER(SEARCH(" clamato ",$AA47)),ISNUMBER(SEARCH(" bloody caesar ",$AA47)))),"?","")))),"")</f>
        <v/>
      </c>
      <c r="S47" s="234" t="str">
        <f>IF(47=47,IF($B47="","",IF(E47="?",""&amp;"Céréales contenant du gluten","")&amp;IF(F47="?",IF(COUNTIF($E47:$E47,"~?")&gt;0,", ","")&amp;"Crustacés","")&amp;IF(G47="?",IF(COUNTIF($E47:$F47,"~?")&gt;0,", ","")&amp;"Œufs","")&amp;IF(H47="?",IF(COUNTIF($E47:$G47,"~?")&gt;0,", ","")&amp;"Poissons","")&amp;IF(I47="?",IF(COUNTIF($E47:$H47,"~?")&gt;0,", ","")&amp;"Arachides","")&amp;IF(J47="?",IF(COUNTIF($E47:$I47,"~?")&gt;0,", ","")&amp;"Soja","")&amp;IF(K47="?",IF(COUNTIF($E47:$J47,"~?")&gt;0,", ","")&amp;"Lait","")&amp;IF(L47="?",IF(COUNTIF($E47:$K47,"~?")&gt;0,", ","")&amp;"Fruits à coque","")&amp;IF(M47="?",IF(COUNTIF($E47:$L47,"~?")&gt;0,", ","")&amp;"Céleri","")&amp;IF(N47="?",IF(COUNTIF($E47:$M47,"~?")&gt;0,", ","")&amp;"Moutarde","")&amp;IF(O47="?",IF(COUNTIF($E47:$N47,"~?")&gt;0,", ","")&amp;"Sésame","")&amp;IF(P47="?",IF(COUNTIF($E47:$O47,"~?")&gt;0,", ","")&amp;"Sulfites","")&amp;IF(Q47="?",IF(COUNTIF($E47:$P47,"~?")&gt;0,", ","")&amp;"Lupin","")&amp;IF(R47="?",IF(COUNTIF($E47:$Q47,"~?")&gt;0,", ","")&amp;"Mollusques","")),"")</f>
        <v>Lait</v>
      </c>
      <c r="U47" s="209" t="str">
        <f>IF(47=47,IF($B47="","",$B47),"")</f>
        <v>Purée / coulis de fruits industriel</v>
      </c>
      <c r="V47" s="209" t="str">
        <f>IF(47=47,LOWER(CLEAN(SUBSTITUTE(SUBSTITUTE(SUBSTITUTE(SUBSTITUTE($U47,CHAR(160)," ")," "," "),CHAR(10)," "),CHAR(13)," "))),"")</f>
        <v>purée / coulis de fruits industriel</v>
      </c>
      <c r="W47" s="209" t="str">
        <f>IF(47=47,SUBSTITUTE(SUBSTITUTE(SUBSTITUTE(SUBSTITUTE(SUBSTITUTE(SUBSTITUTE(SUBSTITUTE(SUBSTITUTE(SUBSTITUTE(SUBSTITUTE(SUBSTITUTE(SUBSTITUTE($V47,"œ","oe"),"æ","ae"),"à","a"),"á","a"),"â","a"),"ä","a"),"ã","a"),"ç","c"),"è","e"),"é","e"),"ê","e"),"ë","e"),"")</f>
        <v>puree / coulis de fruits industriel</v>
      </c>
      <c r="X47" s="209" t="str">
        <f>IF(47=47,SUBSTITUTE(SUBSTITUTE(SUBSTITUTE(SUBSTITUTE(SUBSTITUTE(SUBSTITUTE(SUBSTITUTE(SUBSTITUTE(SUBSTITUTE(SUBSTITUTE(SUBSTITUTE(SUBSTITUTE(SUBSTITUTE(SUBSTITUTE(SUBSTITUTE(SUBSTITUTE($W47,"ì","i"),"í","i"),"î","i"),"ï","i"),"ñ","n"),"ò","o"),"ó","o"),"ô","o"),"ö","o"),"õ","o"),"ù","u"),"ú","u"),"û","u"),"ü","u"),"ý","y"),"ÿ","y"),"")</f>
        <v>puree / coulis de fruits industriel</v>
      </c>
      <c r="Y47" s="209" t="str">
        <f>IF(47=47,SUBSTITUTE(SUBSTITUTE(SUBSTITUTE(SUBSTITUTE(SUBSTITUTE(SUBSTITUTE(SUBSTITUTE(SUBSTITUTE(SUBSTITUTE(SUBSTITUTE(SUBSTITUTE(SUBSTITUTE(SUBSTITUTE(SUBSTITUTE($X47,"’"," "),"`"," "),"–"," "),"—"," "),"-"," "),"'"," "),"/"," "),"_"," "),","," "),"."," "),"("," "),")"," "),";"," "),":"," "),"")</f>
        <v>puree   coulis de fruits industriel</v>
      </c>
      <c r="Z47" s="209" t="str">
        <f>IF(47=47,SUBSTITUTE(SUBSTITUTE(SUBSTITUTE(SUBSTITUTE(SUBSTITUTE(SUBSTITUTE(SUBSTITUTE(SUBSTITUTE(SUBSTITUTE(SUBSTITUTE(SUBSTITUTE(SUBSTITUTE(SUBSTITUTE(SUBSTITUTE(SUBSTITUTE($Y47,"!"," "),"?"," "),"+"," "),"*"," "),"&amp;"," "),"["," "),"]"," "),"{"," "),"}"," "),"%"," "),"="," "),"\"," "),"|"," "),"&lt;"," "),"&gt;"," "),"")</f>
        <v>puree   coulis de fruits industriel</v>
      </c>
      <c r="AA47" s="209" t="str">
        <f>IF(47=47," "&amp;TRIM(SUBSTITUTE(SUBSTITUTE(SUBSTITUTE(SUBSTITUTE(SUBSTITUTE(SUBSTITUTE($Z47,CHAR(34)," "),"  "," "),"  "," "),"  "," "),"  "," "),"  "," "))&amp;" ","")</f>
        <v xml:space="preserve"> puree coulis de fruits industriel </v>
      </c>
      <c r="AB47" s="209">
        <f>IF(47=47,IF($U47="","",SUMPRODUCT(--ISNUMBER(SEARCH(" "&amp;$CR$2:$CR$101&amp;" ",$AD47)))),"")</f>
        <v>0</v>
      </c>
      <c r="AC47" s="209">
        <f>IF(47=47,IF($U47="","",SUMPRODUCT(--ISNUMBER(SEARCH(" "&amp;$CR$102:$CR$151&amp;" ",$AD47)))),"")</f>
        <v>0</v>
      </c>
      <c r="AD47" s="209" t="str">
        <f t="shared" si="1"/>
        <v xml:space="preserve"> puree coulis de fruits industriel </v>
      </c>
      <c r="AE47" s="209">
        <f t="shared" si="2"/>
        <v>0</v>
      </c>
      <c r="AF47" s="209" t="str">
        <f>IF(47=47,IF($U47="","",IF(SUM(AB47:AC47)+SUMPRODUCT(--ISNUMBER(SEARCH(" "&amp;$CR$2418:$CR$2420&amp;" ",$AD47)))&gt;0,"X",IF(AE47&gt;0,"?",""))),"")</f>
        <v/>
      </c>
      <c r="AG47" s="209">
        <f>IF(47=47,IF($U47="","",SUMPRODUCT(--ISNUMBER(SEARCH(" "&amp;$CR$206:$CR$305&amp;" ",$AA47)))),"")</f>
        <v>0</v>
      </c>
      <c r="AH47" s="209">
        <f>IF(47=47,IF($U47="","",SUMPRODUCT(--ISNUMBER(SEARCH(" "&amp;$CR$306:$CR$340&amp;" ",$AA47)))),"")</f>
        <v>0</v>
      </c>
      <c r="AI47" s="209" t="str">
        <f>IF(47=47,IF($U47="","",IF((SUM(AG47:AH47))-(0)&gt;0,"X",IF((0)-(0)&gt;0,"?",""))),"")</f>
        <v/>
      </c>
      <c r="AJ47" s="209">
        <f>IF(47=47,IF($U47="","",SUMPRODUCT(--ISNUMBER(SEARCH(" "&amp;$CR$341:$CR$398&amp;" ",$AA47)))),"")</f>
        <v>0</v>
      </c>
      <c r="AK47" s="209">
        <f>IF(47=47,IF($U47="","",SUMPRODUCT(--ISNUMBER(SEARCH(" "&amp;$CR$399:$CR$426&amp;" ",$AL47)))+SUMPRODUCT(--ISNUMBER(SEARCH(" "&amp;$CR$2440:$CR$2453&amp;" ",$AL47)))),"")</f>
        <v>0</v>
      </c>
      <c r="AL47" s="209" t="str">
        <f>IF(47=47,IF($U47="","",SUBSTITUTE(SUBSTITUTE(SUBSTITUTE(SUBSTITUTE(SUBSTITUTE(SUBSTITUTE(SUBSTITUTE(SUBSTITUTE(SUBSTITUTE(SUBSTITUTE(SUBSTITUTE(SUBSTITUTE(SUBSTITUTE(SUBSTITUTE($AA47,"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puree coulis de fruits industriel </v>
      </c>
      <c r="AM47" s="209" t="str">
        <f>IF(47=47,IF($U47="","",IF(AJ47&gt;0,"X",IF(AK47&gt;0,"?",""))),"")</f>
        <v/>
      </c>
      <c r="AN47" s="209">
        <f>IF(47=47,IF($U47="","",SUMPRODUCT(--ISNUMBER(SEARCH(" "&amp;$CR$436:$CR$535&amp;" ",$AX47)))),"")</f>
        <v>0</v>
      </c>
      <c r="AO47" s="209">
        <f>IF(47=47,IF($U47="","",SUMPRODUCT(--ISNUMBER(SEARCH(" "&amp;$CR$536:$CR$635&amp;" ",$AX47)))),"")</f>
        <v>0</v>
      </c>
      <c r="AP47" s="209">
        <f>IF(47=47,IF($U47="","",SUMPRODUCT(--ISNUMBER(SEARCH(" "&amp;$CR$636:$CR$735&amp;" ",$AX47)))),"")</f>
        <v>0</v>
      </c>
      <c r="AQ47" s="209">
        <f>IF(47=47,IF($U47="","",SUMPRODUCT(--ISNUMBER(SEARCH(" "&amp;$CR$736:$CR$835&amp;" ",$AX47)))),"")</f>
        <v>0</v>
      </c>
      <c r="AR47" s="209">
        <f>IF(47=47,IF($U47="","",SUMPRODUCT(--ISNUMBER(SEARCH(" "&amp;$CR$836:$CR$935&amp;" ",$AX47)))),"")</f>
        <v>0</v>
      </c>
      <c r="AS47" s="209">
        <f>IF(47=47,IF($U47="","",SUMPRODUCT(--ISNUMBER(SEARCH(" "&amp;$CR$936:$CR$1035&amp;" ",$AX47)))),"")</f>
        <v>0</v>
      </c>
      <c r="AT47" s="209">
        <f>IF(47=47,IF($U47="","",SUMPRODUCT(--ISNUMBER(SEARCH(" "&amp;$CR$1036:$CR$1135&amp;" ",$AX47)))),"")</f>
        <v>0</v>
      </c>
      <c r="AU47" s="209">
        <f>IF(47=47,IF($U47="","",SUMPRODUCT(--ISNUMBER(SEARCH(" "&amp;$CR$1136:$CR$1235&amp;" ",$AX47)))),"")</f>
        <v>0</v>
      </c>
      <c r="AV47" s="209">
        <f>IF(47=47,IF($U47="","",SUMPRODUCT(--ISNUMBER(SEARCH(" "&amp;$CR$1236:$CR$1335&amp;" ",$AX47)))),"")</f>
        <v>0</v>
      </c>
      <c r="AW47" s="209">
        <f>IF(47=47,IF($U47="","",SUMPRODUCT(--ISNUMBER(SEARCH(" "&amp;$CR$1336:$CR$1363&amp;" ",$AX47)))),"")</f>
        <v>0</v>
      </c>
      <c r="AX47" s="209" t="str">
        <f>IF(47=47,IF($U47="","",SUBSTITUTE(SUBSTITUTE(SUBSTITUTE(SUBSTITUTE(SUBSTITUTE(SUBSTITUTE(SUBSTITUTE(SUBSTITUTE(SUBSTITUTE($AA47,"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puree coulis de fruits industriel </v>
      </c>
      <c r="AY47" s="209">
        <f>IF(47=47,IF($U47="","",SUMPRODUCT(--ISNUMBER(SEARCH(" "&amp;$CR$1373:$CR$1383&amp;" ",$AX47)))),"")</f>
        <v>0</v>
      </c>
      <c r="AZ47" s="209" t="str">
        <f>IF(47=47,IF($U47="","",IF(SUM(AN47:AW47)+SUMPRODUCT(--ISNUMBER(SEARCH(" "&amp;$CR$2421:$CR$2422&amp;" ",$AX47)))&gt;0,"X",IF(AY47&gt;0,"?",""))),"")</f>
        <v/>
      </c>
      <c r="BA47" s="209">
        <f>IF(47=47,IF($U47="","",SUMPRODUCT(--ISNUMBER(SEARCH(" "&amp;$CR$1384:$CR$1404&amp;" ",$AA47)))),"")</f>
        <v>0</v>
      </c>
      <c r="BB47" s="209" t="str">
        <f>IF(47=47,IF($U47="","",IF((BA47)-(0)&gt;0,"X",IF((0)-(0)&gt;0,"?",""))),"")</f>
        <v/>
      </c>
      <c r="BC47" s="209">
        <f>IF(47=47,IF($U47="","",SUMPRODUCT(--ISNUMBER(SEARCH(" "&amp;$CR$1405:$CR$1442&amp;" ",$BD47)))),"")</f>
        <v>0</v>
      </c>
      <c r="BD47" s="209" t="str">
        <f>IF(47=47,IF($U47="","",SUBSTITUTE(SUBSTITUTE($AA47," "&amp;$CR$1443&amp;" "," ")," "&amp;$CR$1444&amp;" "," ")),"")</f>
        <v xml:space="preserve"> puree coulis de fruits industriel </v>
      </c>
      <c r="BE47" s="209">
        <f>IF(47=47,IF($U47="","",SUMPRODUCT(--ISNUMBER(SEARCH(" "&amp;$CR$1445:$CR$1455&amp;" ",$BD47)))),"")</f>
        <v>0</v>
      </c>
      <c r="BF47" s="209" t="str">
        <f>IF(47=47,IF($U47="","",IF(BC47&gt;0,"X",IF(BE47&gt;0,"?",""))),"")</f>
        <v/>
      </c>
      <c r="BG47" s="209">
        <f>IF(47=47,IF($U47="","",SUMPRODUCT(--ISNUMBER(SEARCH(" "&amp;$CR$1456:$CR$1555&amp;" ",$BJ47)))),"")</f>
        <v>0</v>
      </c>
      <c r="BH47" s="209">
        <f>IF(47=47,IF($U47="","",SUMPRODUCT(--ISNUMBER(SEARCH(" "&amp;$CR$1556:$CR$1655&amp;" ",$BJ47)))),"")</f>
        <v>0</v>
      </c>
      <c r="BI47" s="209">
        <f>IF(47=47,IF($U47="","",SUMPRODUCT(--ISNUMBER(SEARCH(" "&amp;$CR$1656:$CR$1739&amp;" ",$BJ47)))),"")</f>
        <v>0</v>
      </c>
      <c r="BJ47" s="209" t="str">
        <f>IF(47=47,IF($U47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47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puree coulis de fruits industriel </v>
      </c>
      <c r="BK47" s="209">
        <f>IF(47=47,IF($U47="","",SUMPRODUCT(--ISNUMBER(SEARCH(" "&amp;$CR$1790:$CR$1869&amp;" ",$BL47)))+SUMPRODUCT(--ISNUMBER(SEARCH(" "&amp;$CR$2440:$CR$2453&amp;" ",$BL47)))),"")</f>
        <v>1</v>
      </c>
      <c r="BL47" s="209" t="str">
        <f>IF(47=47,IF($U47="","",SUBSTITUTE(SUBSTITUTE(SUBSTITUTE(SUBSTITUTE(SUBSTITUTE(SUBSTITUTE(SUBSTITUTE(SUBSTITUTE(SUBSTITUTE(SUBSTITUTE(SUBSTITUTE(SUBSTITUTE(SUBSTITUTE($BJ47,"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puree coulis de fruits industriel </v>
      </c>
      <c r="BM47" s="209" t="str">
        <f>IF(47=47,IF($U47="","",IF(SUM(BG47:BI47)+SUMPRODUCT(--ISNUMBER(SEARCH(" "&amp;$CR$2423:$CR$2424&amp;" ",$BJ47)))&gt;0,"X",IF(BK47&gt;0,"?",""))),"")</f>
        <v>?</v>
      </c>
      <c r="BN47" s="209">
        <f>IF(47=47,IF($U47="","",SUMPRODUCT(--ISNUMBER(SEARCH(" "&amp;$CR$1879:$CR$1936&amp;" ",$BO47)))),"")</f>
        <v>0</v>
      </c>
      <c r="BO47" s="209" t="str">
        <f>IF(47=47,IF($U47="","",SUBSTITUTE(SUBSTITUTE(SUBSTITUTE(SUBSTITUTE(SUBSTITUTE(SUBSTITUTE(SUBSTITUTE(SUBSTITUTE(SUBSTITUTE(SUBSTITUTE(SUBSTITUTE(SUBSTITUTE(SUBSTITUTE(SUBSTITUTE(SUBSTITUTE(SUBSTITUTE(SUBSTITUTE(SUBSTITUTE(SUBSTITUTE(SUBSTITUTE(SUBSTITUTE(SUBSTITUTE(SUBSTITUTE($AA47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puree coulis de fruits industriel </v>
      </c>
      <c r="BP47" s="209">
        <f>IF(47=47,IF($U47="","",SUMPRODUCT(--ISNUMBER(SEARCH(" "&amp;$CR$1960:$CR$1976&amp;" ",$BO47)))),"")</f>
        <v>0</v>
      </c>
      <c r="BQ47" s="209" t="str">
        <f>IF(47=47,IF($U47="","",IF(BN47&gt;0,"X",IF(BP47&gt;0,"?",""))),"")</f>
        <v/>
      </c>
      <c r="BR47" s="209">
        <f>IF(47=47,IF($U47="","",SUMPRODUCT(--ISNUMBER(SEARCH(" "&amp;$CR$1977:$CR$1990&amp;" ",$AA47)))),"")</f>
        <v>0</v>
      </c>
      <c r="BS47" s="209">
        <f>IF(47=47,IF($U47="","",SUMPRODUCT(--ISNUMBER(SEARCH(" "&amp;$CR$1991:$CR$2005&amp;" ",$AA47)))),"")</f>
        <v>0</v>
      </c>
      <c r="BT47" s="209" t="str">
        <f>IF(47=47,IF($U47="","",IF((BR47)-(0)&gt;0,"X",IF((BS47)-(0)&gt;0,"?",""))),"")</f>
        <v/>
      </c>
      <c r="BU47" s="209">
        <f>IF(47=47,IF($U47="","",SUMPRODUCT(--ISNUMBER(SEARCH(" "&amp;$CR$2006:$CR$2023&amp;" ",$AA47)))),"")</f>
        <v>0</v>
      </c>
      <c r="BV47" s="209">
        <f>IF(47=47,IF($U47="","",SUMPRODUCT(--ISNUMBER(SEARCH(" "&amp;$CR$2024:$CR$2038&amp;" ",$AA47)))),"")</f>
        <v>0</v>
      </c>
      <c r="BW47" s="209" t="str">
        <f>IF(47=47,IF($U47="","",IF((BU47)-(0)&gt;0,"X",IF((BV47)-(0)&gt;0,"?",""))),"")</f>
        <v/>
      </c>
      <c r="BX47" s="209">
        <f>IF(47=47,IF($U47="","",SUMPRODUCT(--ISNUMBER(SEARCH(" "&amp;$CR$2039:$CR$2057&amp;" ",$AA47)))),"")</f>
        <v>0</v>
      </c>
      <c r="BY47" s="209">
        <f>IF(47=47,IF($U47="","",SUMPRODUCT(--ISNUMBER(SEARCH(" "&amp;$CR$2058:$CR$2072&amp;" ",$AA47)))),"")</f>
        <v>0</v>
      </c>
      <c r="BZ47" s="209" t="str">
        <f>IF(47=47,IF($U47="","",IF((BX47)-(0)&gt;0,"X",IF((BY47)-(0)&gt;0,"?",""))),"")</f>
        <v/>
      </c>
      <c r="CA47" s="209">
        <f>IF(47=47,IF($U47="","",SUMPRODUCT(--ISNUMBER(SEARCH(" "&amp;$CR$2073:$CR$2093&amp;" ",$AA47)))),"")</f>
        <v>0</v>
      </c>
      <c r="CB47" s="209">
        <f>IF(47=47,IF($U47="","",SUMPRODUCT(--ISNUMBER(SEARCH(" "&amp;$CR$2094:$CR$2133&amp;" ",SUBSTITUTE(SUBSTITUTE($AA47," "&amp;$CR$1367&amp;" "," ")," "&amp;$CR$1366&amp;" "," "))))+--ISNUMBER(SEARCH("poiré",$V47))),"")</f>
        <v>0</v>
      </c>
      <c r="CC47" s="209" t="str">
        <f>IF(47=47,IF($U47="","",IF(OR(CA47&gt;0,ISNUMBER(SEARCH(" vinaigre de vin ",$AA47)),ISNUMBER(SEARCH(" vinaigre au vin ",$AA47))),"X",IF(CB47&gt;0,"?",""))),"")</f>
        <v/>
      </c>
      <c r="CD47" s="209">
        <f>IF(47=47,IF($U47="","",SUMPRODUCT(--ISNUMBER(SEARCH(" "&amp;$CR$2134:$CR$2146&amp;" ",$AA47)))),"")</f>
        <v>0</v>
      </c>
      <c r="CE47" s="209">
        <f>IF(47=47,IF($U47="","",SUMPRODUCT(--ISNUMBER(SEARCH(" "&amp;$CR$2147:$CR$2152&amp;" ",$AA47)))),"")</f>
        <v>0</v>
      </c>
      <c r="CF47" s="209" t="str">
        <f>IF(47=47,IF($U47="","",IF((CD47)-(0)&gt;0,"X",IF((CE47)-(0)&gt;0,"?",""))),"")</f>
        <v/>
      </c>
      <c r="CG47" s="209">
        <f>IF(47=47,IF($U47="","",SUMPRODUCT(--ISNUMBER(SEARCH(" "&amp;$CR$2153:$CR$2252&amp;" ",$CJ47)))),"")</f>
        <v>0</v>
      </c>
      <c r="CH47" s="209">
        <f>IF(47=47,IF($U47="","",SUMPRODUCT(--ISNUMBER(SEARCH(" "&amp;$CR$2253:$CR$2352&amp;" ",$CJ47)))),"")</f>
        <v>0</v>
      </c>
      <c r="CI47" s="209">
        <f>IF(47=47,IF($U47="","",SUMPRODUCT(--ISNUMBER(SEARCH(" "&amp;$CR$2353:$CR$2395&amp;" ",$CJ47)))),"")</f>
        <v>0</v>
      </c>
      <c r="CJ47" s="209" t="str">
        <f>IF(47=47,IF($U47="","",SUBSTITUTE(SUBSTITUTE(SUBSTITUTE(SUBSTITUTE(SUBSTITUTE(SUBSTITUTE(SUBSTITUTE(SUBSTITUTE(SUBSTITUTE(SUBSTITUTE(SUBSTITUTE(SUBSTITUTE(SUBSTITUTE(SUBSTITUTE(SUBSTITUTE(SUBSTITUTE($AA47,"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puree coulis de fruits industriel </v>
      </c>
      <c r="CK47" s="209">
        <f>IF(47=47,IF($U47="","",SUMPRODUCT(--ISNUMBER(SEARCH(" "&amp;$CR$2412:$CR$2416&amp;" ",$CJ47)))),"")</f>
        <v>0</v>
      </c>
      <c r="CL47" s="209" t="str">
        <f>IF(47=47,IF($U47="","",IF(SUM(CG47:CI47)&gt;0,"X",IF(CK47&gt;0,"?",""))),"")</f>
        <v/>
      </c>
      <c r="CM47" s="210"/>
      <c r="CN47" s="213" t="s">
        <v>1071</v>
      </c>
      <c r="CO47" s="213" t="s">
        <v>878</v>
      </c>
      <c r="CP47" s="213" t="s">
        <v>879</v>
      </c>
      <c r="CQ47" s="213" t="s">
        <v>1072</v>
      </c>
      <c r="CR47" s="213" t="s">
        <v>1073</v>
      </c>
      <c r="CS47" s="213" t="s">
        <v>881</v>
      </c>
      <c r="CT47" s="213" t="s">
        <v>882</v>
      </c>
      <c r="CU47" s="213" t="s">
        <v>883</v>
      </c>
      <c r="CV47" s="214" t="s">
        <v>884</v>
      </c>
      <c r="CX47" s="212">
        <v>1</v>
      </c>
    </row>
    <row r="48" spans="1:102" ht="21" customHeight="1">
      <c r="A48" s="229">
        <v>42</v>
      </c>
      <c r="B48" s="230" t="s">
        <v>6625</v>
      </c>
      <c r="C48" s="231" t="str">
        <f t="shared" si="0"/>
        <v>Jus / nectar industriel</v>
      </c>
      <c r="D48" s="232" t="str">
        <f>IF(48=48,IF($B48="","",IF(E48="X",""&amp;"Céréales contenant du gluten","")&amp;IF(F48="X",IF(COUNTIF($E48:$E48,"X")&gt;0,", ","")&amp;"Crustacés","")&amp;IF(G48="X",IF(COUNTIF($E48:$F48,"X")&gt;0,", ","")&amp;"Œufs","")&amp;IF(H48="X",IF(COUNTIF($E48:$G48,"X")&gt;0,", ","")&amp;"Poissons","")&amp;IF(I48="X",IF(COUNTIF($E48:$H48,"X")&gt;0,", ","")&amp;"Arachides","")&amp;IF(J48="X",IF(COUNTIF($E48:$I48,"X")&gt;0,", ","")&amp;"Soja","")&amp;IF(K48="X",IF(COUNTIF($E48:$J48,"X")&gt;0,", ","")&amp;"Lait","")&amp;IF(L48="X",IF(COUNTIF($E48:$K48,"X")&gt;0,", ","")&amp;"Fruits à coque","")&amp;IF(M48="X",IF(COUNTIF($E48:$L48,"X")&gt;0,", ","")&amp;"Céleri","")&amp;IF(N48="X",IF(COUNTIF($E48:$M48,"X")&gt;0,", ","")&amp;"Moutarde","")&amp;IF(O48="X",IF(COUNTIF($E48:$N48,"X")&gt;0,", ","")&amp;"Sésame","")&amp;IF(P48="X",IF(COUNTIF($E48:$O48,"X")&gt;0,", ","")&amp;"Sulfites","")&amp;IF(Q48="X",IF(COUNTIF($E48:$P48,"X")&gt;0,", ","")&amp;"Lupin","")&amp;IF(R48="X",IF(COUNTIF($E48:$Q48,"X")&gt;0,", ","")&amp;"Mollusques","")),"")</f>
        <v/>
      </c>
      <c r="E48" s="233" t="str">
        <f>IF(48=48,IF($B48="","",IF(OR(ISNUMBER(SEARCH(" biere sans gluten ",$AA48)),ISNUMBER(SEARCH(" gluten free beer ",$AA48)),ISNUMBER(SEARCH(" beer gluten free ",$AA48))),"",IF(AF48="X","X",IF(OR(AF48="?",OR(ISNUMBER(SEARCH(" worcestershire ",$AA48)),ISNUMBER(SEARCH(" bloody mary ",$AA48)))),"?","")))),"")</f>
        <v/>
      </c>
      <c r="F48" s="233" t="str">
        <f>IF(48=48,IF($B48="","",AI48),"")</f>
        <v/>
      </c>
      <c r="G48" s="233" t="str">
        <f>IF(48=48,IF($B48="","",IF(OR(TRIM($AA48)="puree pate d amande",TRIM($AA48)="pate puree d amande",TRIM($AA48)="puree d amande",TRIM($AA48)="pate d amande",TRIM($AA48)="pate puree de noisette",TRIM($AA48)="puree pate de noisette",TRIM($AA48)="puree de noisette",TRIM($AA48)="pate de noisette"),"",IF(OR(AM48="X",OR(ISNUMBER(SEARCH(" macaron ",$AA48)),ISNUMBER(SEARCH(" egg nog ",$AA48)),ISNUMBER(SEARCH(" eggnog ",$AA48)))),"X",IF(OR(AM48="?",OR(ISNUMBER(SEARCH(" biscuit decoratif ",$AA48)),ISNUMBER(SEARCH(" whisky sour ",$AA48)),ISNUMBER(SEARCH(" whiskey sour ",$AA48)),ISNUMBER(SEARCH(" amaretto sour ",$AA48)),ISNUMBER(SEARCH(" pisco sour ",$AA48)),ISNUMBER(SEARCH(" clover club ",$AA48)),ISNUMBER(SEARCH(" ramos gin fizz ",$AA48)))),"?","")))),"")</f>
        <v/>
      </c>
      <c r="H48" s="233" t="str">
        <f>IF(48=48,IF($B48="","",IF(ISNUMBER(SEARCH(" colin ",$AA48)),"X",IF(AZ48="X","X",IF(OR(AZ48="?",OR(ISNUMBER(SEARCH(" worcestershire ",$AA48)),ISNUMBER(SEARCH(" bloody mary ",$AA48)))),"?","")))),"")</f>
        <v/>
      </c>
      <c r="I48" s="233" t="str">
        <f>IF(48=48,IF($B48="","",BB48),"")</f>
        <v/>
      </c>
      <c r="J48" s="233" t="str">
        <f>IF(48=48,IF($B48="","",BF48),"")</f>
        <v/>
      </c>
      <c r="K48" s="233" t="str">
        <f>IF(48=48,IF($B48="","",IF(OR(OR(TRIM($AA48)="puree pate d amande",TRIM($AA48)="pate puree d amande",TRIM($AA48)="puree d amande",TRIM($AA48)="pate d amande",TRIM($AA48)="pate puree de noisette",TRIM($AA48)="puree pate de noisette",TRIM($AA48)="puree de noisette",TRIM($AA48)="pate de noisette"),OR(TRIM($AA48)="beurre puree d arachide",TRIM($AA48)="beurre d arachide",TRIM($AA48)="puree d arachide"),OR(TRIM($AA48)="tahini puree de sesame",TRIM($AA48)="tahini",TRIM($AA48)="puree de sesame")),"",IF(OR(TRIM($AA48)="creme de cassis",TRIM($AA48)="creme de menthe",TRIM($AA48)="creme de cacao",TRIM($AA48)="creme de mure",TRIM($AA48)="creme de framboise",TRIM($AA48)="creme de peche",TRIM($AA48)="creme de banane",TRIM($AA48)="liqueur creme de coco",TRIM($AA48)="creme de coco",TRIM($AA48)="spiritueux aromatise arrange creme de spiritueux"),"?",IF(OR(BM48="X",OR(ISNUMBER(SEARCH(" baileys ",$AA48)),ISNUMBER(SEARCH(" irish cream ",$AA48)),ISNUMBER(SEARCH(" creme de whisky ",$AA48)))),"X",IF(OR(BM48="?",OR(OR(TRIM($AA48)="creme de cassis",TRIM($AA48)="creme de menthe",TRIM($AA48)="creme de cacao",TRIM($AA48)="creme de mure",TRIM($AA48)="creme de framboise",TRIM($AA48)="creme de peche",TRIM($AA48)="creme de banane",TRIM($AA48)="liqueur creme de coco",TRIM($AA48)="creme de coco",TRIM($AA48)="spiritueux aromatise arrange creme de spiritueux"),ISNUMBER(SEARCH(" advocaat ",$AA48)),ISNUMBER(SEARCH(" liqueur aux oeufs ",$AA48)),ISNUMBER(SEARCH(" liqueur de chocolat ",$AA48)),ISNUMBER(SEARCH(" liqueur de caramel ",$AA48)),ISNUMBER(SEARCH(" sauce nappage chocolat ",$AA48)),ISNUMBER(SEARCH(" biscuit decoratif ",$AA48)),ISNUMBER(SEARCH(" white russian ",$AA48)),ISNUMBER(SEARCH(" grasshopper ",$AA48)),ISNUMBER(SEARCH(" irish coffee ",$AA48)),ISNUMBER(SEARCH(" ramos gin fizz ",$AA48)),ISNUMBER(SEARCH(" egg nog ",$AA48)),ISNUMBER(SEARCH(" eggnog ",$AA48)))),"?",""))))),"")</f>
        <v/>
      </c>
      <c r="L48" s="233" t="str">
        <f>IF(48=48,IF($B48="","",IF(OR(BQ48="X",OR(OR(TRIM($AA48)="puree pate d amande",TRIM($AA48)="pate puree d amande",TRIM($AA48)="puree d amande",TRIM($AA48)="pate d amande",TRIM($AA48)="pate puree de noisette",TRIM($AA48)="puree pate de noisette",TRIM($AA48)="puree de noisette",TRIM($AA48)="pate de noisette"),ISNUMBER(SEARCH(" macaron ",$AA48)),TRIM($AA48)="fruits a coque")),"X",IF(OR(BQ48="?",OR(ISNUMBER(SEARCH(" sirop d orgeat ",$AA48)),ISNUMBER(SEARCH(" orgeat ",$AA48)),ISNUMBER(SEARCH(" amaretto ",$AA48)))),"?",""))),"")</f>
        <v/>
      </c>
      <c r="M48" s="233" t="str">
        <f>IF(48=48,IF($B48="","",IF(OR(OR(TRIM($AA48)="puree pate d amande",TRIM($AA48)="pate puree d amande",TRIM($AA48)="puree d amande",TRIM($AA48)="pate d amande",TRIM($AA48)="pate puree de noisette",TRIM($AA48)="puree pate de noisette",TRIM($AA48)="puree de noisette",TRIM($AA48)="pate de noisette"),OR(TRIM($AA48)="tahini puree de sesame",TRIM($AA48)="tahini",TRIM($AA48)="puree de sesame")),"",IF(BT48="X","X",IF(OR(BT48="?",ISNUMBER(SEARCH(" bloody mary ",$AA48))),"?","")))),"")</f>
        <v/>
      </c>
      <c r="N48" s="233" t="str">
        <f>IF(48=48,IF($B48="","",IF(OR(OR(TRIM($AA48)="puree pate d amande",TRIM($AA48)="pate puree d amande",TRIM($AA48)="puree d amande",TRIM($AA48)="pate d amande",TRIM($AA48)="pate puree de noisette",TRIM($AA48)="puree pate de noisette",TRIM($AA48)="puree de noisette",TRIM($AA48)="pate de noisette"),OR(TRIM($AA48)="tahini puree de sesame",TRIM($AA48)="tahini",TRIM($AA48)="puree de sesame")),"",IF(BW48="X","X",IF(OR(BW48="?",ISNUMBER(SEARCH(" bloody mary ",$AA48))),"?","")))),"")</f>
        <v/>
      </c>
      <c r="O48" s="233" t="str">
        <f>IF(48=48,IF($B48="","",BZ48),"")</f>
        <v/>
      </c>
      <c r="P48" s="233" t="str">
        <f>IF(48=48,IF($B48="","",CC48),"")</f>
        <v/>
      </c>
      <c r="Q48" s="233" t="str">
        <f>IF(48=48,IF($B48="","",CF48),"")</f>
        <v/>
      </c>
      <c r="R48" s="233" t="str">
        <f>IF(48=48,IF($B48="","",IF(TRIM($AA48)="fruits a coque","",IF(CL48="X","X",IF(OR(CL48="?",OR(ISNUMBER(SEARCH(" clamato ",$AA48)),ISNUMBER(SEARCH(" bloody caesar ",$AA48)))),"?","")))),"")</f>
        <v/>
      </c>
      <c r="S48" s="234" t="str">
        <f>IF(48=48,IF($B48="","",IF(E48="?",""&amp;"Céréales contenant du gluten","")&amp;IF(F48="?",IF(COUNTIF($E48:$E48,"~?")&gt;0,", ","")&amp;"Crustacés","")&amp;IF(G48="?",IF(COUNTIF($E48:$F48,"~?")&gt;0,", ","")&amp;"Œufs","")&amp;IF(H48="?",IF(COUNTIF($E48:$G48,"~?")&gt;0,", ","")&amp;"Poissons","")&amp;IF(I48="?",IF(COUNTIF($E48:$H48,"~?")&gt;0,", ","")&amp;"Arachides","")&amp;IF(J48="?",IF(COUNTIF($E48:$I48,"~?")&gt;0,", ","")&amp;"Soja","")&amp;IF(K48="?",IF(COUNTIF($E48:$J48,"~?")&gt;0,", ","")&amp;"Lait","")&amp;IF(L48="?",IF(COUNTIF($E48:$K48,"~?")&gt;0,", ","")&amp;"Fruits à coque","")&amp;IF(M48="?",IF(COUNTIF($E48:$L48,"~?")&gt;0,", ","")&amp;"Céleri","")&amp;IF(N48="?",IF(COUNTIF($E48:$M48,"~?")&gt;0,", ","")&amp;"Moutarde","")&amp;IF(O48="?",IF(COUNTIF($E48:$N48,"~?")&gt;0,", ","")&amp;"Sésame","")&amp;IF(P48="?",IF(COUNTIF($E48:$O48,"~?")&gt;0,", ","")&amp;"Sulfites","")&amp;IF(Q48="?",IF(COUNTIF($E48:$P48,"~?")&gt;0,", ","")&amp;"Lupin","")&amp;IF(R48="?",IF(COUNTIF($E48:$Q48,"~?")&gt;0,", ","")&amp;"Mollusques","")),"")</f>
        <v/>
      </c>
      <c r="U48" s="209" t="str">
        <f>IF(48=48,IF($B48="","",$B48),"")</f>
        <v>Jus / nectar industriel</v>
      </c>
      <c r="V48" s="209" t="str">
        <f>IF(48=48,LOWER(CLEAN(SUBSTITUTE(SUBSTITUTE(SUBSTITUTE(SUBSTITUTE($U48,CHAR(160)," ")," "," "),CHAR(10)," "),CHAR(13)," "))),"")</f>
        <v>jus / nectar industriel</v>
      </c>
      <c r="W48" s="209" t="str">
        <f>IF(48=48,SUBSTITUTE(SUBSTITUTE(SUBSTITUTE(SUBSTITUTE(SUBSTITUTE(SUBSTITUTE(SUBSTITUTE(SUBSTITUTE(SUBSTITUTE(SUBSTITUTE(SUBSTITUTE(SUBSTITUTE($V48,"œ","oe"),"æ","ae"),"à","a"),"á","a"),"â","a"),"ä","a"),"ã","a"),"ç","c"),"è","e"),"é","e"),"ê","e"),"ë","e"),"")</f>
        <v>jus / nectar industriel</v>
      </c>
      <c r="X48" s="209" t="str">
        <f>IF(48=48,SUBSTITUTE(SUBSTITUTE(SUBSTITUTE(SUBSTITUTE(SUBSTITUTE(SUBSTITUTE(SUBSTITUTE(SUBSTITUTE(SUBSTITUTE(SUBSTITUTE(SUBSTITUTE(SUBSTITUTE(SUBSTITUTE(SUBSTITUTE(SUBSTITUTE(SUBSTITUTE($W48,"ì","i"),"í","i"),"î","i"),"ï","i"),"ñ","n"),"ò","o"),"ó","o"),"ô","o"),"ö","o"),"õ","o"),"ù","u"),"ú","u"),"û","u"),"ü","u"),"ý","y"),"ÿ","y"),"")</f>
        <v>jus / nectar industriel</v>
      </c>
      <c r="Y48" s="209" t="str">
        <f>IF(48=48,SUBSTITUTE(SUBSTITUTE(SUBSTITUTE(SUBSTITUTE(SUBSTITUTE(SUBSTITUTE(SUBSTITUTE(SUBSTITUTE(SUBSTITUTE(SUBSTITUTE(SUBSTITUTE(SUBSTITUTE(SUBSTITUTE(SUBSTITUTE($X48,"’"," "),"`"," "),"–"," "),"—"," "),"-"," "),"'"," "),"/"," "),"_"," "),","," "),"."," "),"("," "),")"," "),";"," "),":"," "),"")</f>
        <v>jus   nectar industriel</v>
      </c>
      <c r="Z48" s="209" t="str">
        <f>IF(48=48,SUBSTITUTE(SUBSTITUTE(SUBSTITUTE(SUBSTITUTE(SUBSTITUTE(SUBSTITUTE(SUBSTITUTE(SUBSTITUTE(SUBSTITUTE(SUBSTITUTE(SUBSTITUTE(SUBSTITUTE(SUBSTITUTE(SUBSTITUTE(SUBSTITUTE($Y48,"!"," "),"?"," "),"+"," "),"*"," "),"&amp;"," "),"["," "),"]"," "),"{"," "),"}"," "),"%"," "),"="," "),"\"," "),"|"," "),"&lt;"," "),"&gt;"," "),"")</f>
        <v>jus   nectar industriel</v>
      </c>
      <c r="AA48" s="209" t="str">
        <f>IF(48=48," "&amp;TRIM(SUBSTITUTE(SUBSTITUTE(SUBSTITUTE(SUBSTITUTE(SUBSTITUTE(SUBSTITUTE($Z48,CHAR(34)," "),"  "," "),"  "," "),"  "," "),"  "," "),"  "," "))&amp;" ","")</f>
        <v xml:space="preserve"> jus nectar industriel </v>
      </c>
      <c r="AB48" s="209">
        <f>IF(48=48,IF($U48="","",SUMPRODUCT(--ISNUMBER(SEARCH(" "&amp;$CR$2:$CR$101&amp;" ",$AD48)))),"")</f>
        <v>0</v>
      </c>
      <c r="AC48" s="209">
        <f>IF(48=48,IF($U48="","",SUMPRODUCT(--ISNUMBER(SEARCH(" "&amp;$CR$102:$CR$151&amp;" ",$AD48)))),"")</f>
        <v>0</v>
      </c>
      <c r="AD48" s="209" t="str">
        <f t="shared" si="1"/>
        <v xml:space="preserve"> jus nectar industriel </v>
      </c>
      <c r="AE48" s="209">
        <f t="shared" si="2"/>
        <v>0</v>
      </c>
      <c r="AF48" s="209" t="str">
        <f>IF(48=48,IF($U48="","",IF(SUM(AB48:AC48)+SUMPRODUCT(--ISNUMBER(SEARCH(" "&amp;$CR$2418:$CR$2420&amp;" ",$AD48)))&gt;0,"X",IF(AE48&gt;0,"?",""))),"")</f>
        <v/>
      </c>
      <c r="AG48" s="209">
        <f>IF(48=48,IF($U48="","",SUMPRODUCT(--ISNUMBER(SEARCH(" "&amp;$CR$206:$CR$305&amp;" ",$AA48)))),"")</f>
        <v>0</v>
      </c>
      <c r="AH48" s="209">
        <f>IF(48=48,IF($U48="","",SUMPRODUCT(--ISNUMBER(SEARCH(" "&amp;$CR$306:$CR$340&amp;" ",$AA48)))),"")</f>
        <v>0</v>
      </c>
      <c r="AI48" s="209" t="str">
        <f>IF(48=48,IF($U48="","",IF((SUM(AG48:AH48))-(0)&gt;0,"X",IF((0)-(0)&gt;0,"?",""))),"")</f>
        <v/>
      </c>
      <c r="AJ48" s="209">
        <f>IF(48=48,IF($U48="","",SUMPRODUCT(--ISNUMBER(SEARCH(" "&amp;$CR$341:$CR$398&amp;" ",$AA48)))),"")</f>
        <v>0</v>
      </c>
      <c r="AK48" s="209">
        <f>IF(48=48,IF($U48="","",SUMPRODUCT(--ISNUMBER(SEARCH(" "&amp;$CR$399:$CR$426&amp;" ",$AL48)))+SUMPRODUCT(--ISNUMBER(SEARCH(" "&amp;$CR$2440:$CR$2453&amp;" ",$AL48)))),"")</f>
        <v>0</v>
      </c>
      <c r="AL48" s="209" t="str">
        <f>IF(48=48,IF($U48="","",SUBSTITUTE(SUBSTITUTE(SUBSTITUTE(SUBSTITUTE(SUBSTITUTE(SUBSTITUTE(SUBSTITUTE(SUBSTITUTE(SUBSTITUTE(SUBSTITUTE(SUBSTITUTE(SUBSTITUTE(SUBSTITUTE(SUBSTITUTE($AA48,"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jus nectar industriel </v>
      </c>
      <c r="AM48" s="209" t="str">
        <f>IF(48=48,IF($U48="","",IF(AJ48&gt;0,"X",IF(AK48&gt;0,"?",""))),"")</f>
        <v/>
      </c>
      <c r="AN48" s="209">
        <f>IF(48=48,IF($U48="","",SUMPRODUCT(--ISNUMBER(SEARCH(" "&amp;$CR$436:$CR$535&amp;" ",$AX48)))),"")</f>
        <v>0</v>
      </c>
      <c r="AO48" s="209">
        <f>IF(48=48,IF($U48="","",SUMPRODUCT(--ISNUMBER(SEARCH(" "&amp;$CR$536:$CR$635&amp;" ",$AX48)))),"")</f>
        <v>0</v>
      </c>
      <c r="AP48" s="209">
        <f>IF(48=48,IF($U48="","",SUMPRODUCT(--ISNUMBER(SEARCH(" "&amp;$CR$636:$CR$735&amp;" ",$AX48)))),"")</f>
        <v>0</v>
      </c>
      <c r="AQ48" s="209">
        <f>IF(48=48,IF($U48="","",SUMPRODUCT(--ISNUMBER(SEARCH(" "&amp;$CR$736:$CR$835&amp;" ",$AX48)))),"")</f>
        <v>0</v>
      </c>
      <c r="AR48" s="209">
        <f>IF(48=48,IF($U48="","",SUMPRODUCT(--ISNUMBER(SEARCH(" "&amp;$CR$836:$CR$935&amp;" ",$AX48)))),"")</f>
        <v>0</v>
      </c>
      <c r="AS48" s="209">
        <f>IF(48=48,IF($U48="","",SUMPRODUCT(--ISNUMBER(SEARCH(" "&amp;$CR$936:$CR$1035&amp;" ",$AX48)))),"")</f>
        <v>0</v>
      </c>
      <c r="AT48" s="209">
        <f>IF(48=48,IF($U48="","",SUMPRODUCT(--ISNUMBER(SEARCH(" "&amp;$CR$1036:$CR$1135&amp;" ",$AX48)))),"")</f>
        <v>0</v>
      </c>
      <c r="AU48" s="209">
        <f>IF(48=48,IF($U48="","",SUMPRODUCT(--ISNUMBER(SEARCH(" "&amp;$CR$1136:$CR$1235&amp;" ",$AX48)))),"")</f>
        <v>0</v>
      </c>
      <c r="AV48" s="209">
        <f>IF(48=48,IF($U48="","",SUMPRODUCT(--ISNUMBER(SEARCH(" "&amp;$CR$1236:$CR$1335&amp;" ",$AX48)))),"")</f>
        <v>0</v>
      </c>
      <c r="AW48" s="209">
        <f>IF(48=48,IF($U48="","",SUMPRODUCT(--ISNUMBER(SEARCH(" "&amp;$CR$1336:$CR$1363&amp;" ",$AX48)))),"")</f>
        <v>0</v>
      </c>
      <c r="AX48" s="209" t="str">
        <f>IF(48=48,IF($U48="","",SUBSTITUTE(SUBSTITUTE(SUBSTITUTE(SUBSTITUTE(SUBSTITUTE(SUBSTITUTE(SUBSTITUTE(SUBSTITUTE(SUBSTITUTE($AA48,"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jus nectar industriel </v>
      </c>
      <c r="AY48" s="209">
        <f>IF(48=48,IF($U48="","",SUMPRODUCT(--ISNUMBER(SEARCH(" "&amp;$CR$1373:$CR$1383&amp;" ",$AX48)))),"")</f>
        <v>0</v>
      </c>
      <c r="AZ48" s="209" t="str">
        <f>IF(48=48,IF($U48="","",IF(SUM(AN48:AW48)+SUMPRODUCT(--ISNUMBER(SEARCH(" "&amp;$CR$2421:$CR$2422&amp;" ",$AX48)))&gt;0,"X",IF(AY48&gt;0,"?",""))),"")</f>
        <v/>
      </c>
      <c r="BA48" s="209">
        <f>IF(48=48,IF($U48="","",SUMPRODUCT(--ISNUMBER(SEARCH(" "&amp;$CR$1384:$CR$1404&amp;" ",$AA48)))),"")</f>
        <v>0</v>
      </c>
      <c r="BB48" s="209" t="str">
        <f>IF(48=48,IF($U48="","",IF((BA48)-(0)&gt;0,"X",IF((0)-(0)&gt;0,"?",""))),"")</f>
        <v/>
      </c>
      <c r="BC48" s="209">
        <f>IF(48=48,IF($U48="","",SUMPRODUCT(--ISNUMBER(SEARCH(" "&amp;$CR$1405:$CR$1442&amp;" ",$BD48)))),"")</f>
        <v>0</v>
      </c>
      <c r="BD48" s="209" t="str">
        <f>IF(48=48,IF($U48="","",SUBSTITUTE(SUBSTITUTE($AA48," "&amp;$CR$1443&amp;" "," ")," "&amp;$CR$1444&amp;" "," ")),"")</f>
        <v xml:space="preserve"> jus nectar industriel </v>
      </c>
      <c r="BE48" s="209">
        <f>IF(48=48,IF($U48="","",SUMPRODUCT(--ISNUMBER(SEARCH(" "&amp;$CR$1445:$CR$1455&amp;" ",$BD48)))),"")</f>
        <v>0</v>
      </c>
      <c r="BF48" s="209" t="str">
        <f>IF(48=48,IF($U48="","",IF(BC48&gt;0,"X",IF(BE48&gt;0,"?",""))),"")</f>
        <v/>
      </c>
      <c r="BG48" s="209">
        <f>IF(48=48,IF($U48="","",SUMPRODUCT(--ISNUMBER(SEARCH(" "&amp;$CR$1456:$CR$1555&amp;" ",$BJ48)))),"")</f>
        <v>0</v>
      </c>
      <c r="BH48" s="209">
        <f>IF(48=48,IF($U48="","",SUMPRODUCT(--ISNUMBER(SEARCH(" "&amp;$CR$1556:$CR$1655&amp;" ",$BJ48)))),"")</f>
        <v>0</v>
      </c>
      <c r="BI48" s="209">
        <f>IF(48=48,IF($U48="","",SUMPRODUCT(--ISNUMBER(SEARCH(" "&amp;$CR$1656:$CR$1739&amp;" ",$BJ48)))),"")</f>
        <v>0</v>
      </c>
      <c r="BJ48" s="209" t="str">
        <f>IF(48=48,IF($U48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48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jus nectar industriel </v>
      </c>
      <c r="BK48" s="209">
        <f>IF(48=48,IF($U48="","",SUMPRODUCT(--ISNUMBER(SEARCH(" "&amp;$CR$1790:$CR$1869&amp;" ",$BL48)))+SUMPRODUCT(--ISNUMBER(SEARCH(" "&amp;$CR$2440:$CR$2453&amp;" ",$BL48)))),"")</f>
        <v>0</v>
      </c>
      <c r="BL48" s="209" t="str">
        <f>IF(48=48,IF($U48="","",SUBSTITUTE(SUBSTITUTE(SUBSTITUTE(SUBSTITUTE(SUBSTITUTE(SUBSTITUTE(SUBSTITUTE(SUBSTITUTE(SUBSTITUTE(SUBSTITUTE(SUBSTITUTE(SUBSTITUTE(SUBSTITUTE($BJ48,"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jus nectar industriel </v>
      </c>
      <c r="BM48" s="209" t="str">
        <f>IF(48=48,IF($U48="","",IF(SUM(BG48:BI48)+SUMPRODUCT(--ISNUMBER(SEARCH(" "&amp;$CR$2423:$CR$2424&amp;" ",$BJ48)))&gt;0,"X",IF(BK48&gt;0,"?",""))),"")</f>
        <v/>
      </c>
      <c r="BN48" s="209">
        <f>IF(48=48,IF($U48="","",SUMPRODUCT(--ISNUMBER(SEARCH(" "&amp;$CR$1879:$CR$1936&amp;" ",$BO48)))),"")</f>
        <v>0</v>
      </c>
      <c r="BO48" s="209" t="str">
        <f>IF(48=48,IF($U48="","",SUBSTITUTE(SUBSTITUTE(SUBSTITUTE(SUBSTITUTE(SUBSTITUTE(SUBSTITUTE(SUBSTITUTE(SUBSTITUTE(SUBSTITUTE(SUBSTITUTE(SUBSTITUTE(SUBSTITUTE(SUBSTITUTE(SUBSTITUTE(SUBSTITUTE(SUBSTITUTE(SUBSTITUTE(SUBSTITUTE(SUBSTITUTE(SUBSTITUTE(SUBSTITUTE(SUBSTITUTE(SUBSTITUTE($AA48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jus nectar industriel </v>
      </c>
      <c r="BP48" s="209">
        <f>IF(48=48,IF($U48="","",SUMPRODUCT(--ISNUMBER(SEARCH(" "&amp;$CR$1960:$CR$1976&amp;" ",$BO48)))),"")</f>
        <v>0</v>
      </c>
      <c r="BQ48" s="209" t="str">
        <f>IF(48=48,IF($U48="","",IF(BN48&gt;0,"X",IF(BP48&gt;0,"?",""))),"")</f>
        <v/>
      </c>
      <c r="BR48" s="209">
        <f>IF(48=48,IF($U48="","",SUMPRODUCT(--ISNUMBER(SEARCH(" "&amp;$CR$1977:$CR$1990&amp;" ",$AA48)))),"")</f>
        <v>0</v>
      </c>
      <c r="BS48" s="209">
        <f>IF(48=48,IF($U48="","",SUMPRODUCT(--ISNUMBER(SEARCH(" "&amp;$CR$1991:$CR$2005&amp;" ",$AA48)))),"")</f>
        <v>0</v>
      </c>
      <c r="BT48" s="209" t="str">
        <f>IF(48=48,IF($U48="","",IF((BR48)-(0)&gt;0,"X",IF((BS48)-(0)&gt;0,"?",""))),"")</f>
        <v/>
      </c>
      <c r="BU48" s="209">
        <f>IF(48=48,IF($U48="","",SUMPRODUCT(--ISNUMBER(SEARCH(" "&amp;$CR$2006:$CR$2023&amp;" ",$AA48)))),"")</f>
        <v>0</v>
      </c>
      <c r="BV48" s="209">
        <f>IF(48=48,IF($U48="","",SUMPRODUCT(--ISNUMBER(SEARCH(" "&amp;$CR$2024:$CR$2038&amp;" ",$AA48)))),"")</f>
        <v>0</v>
      </c>
      <c r="BW48" s="209" t="str">
        <f>IF(48=48,IF($U48="","",IF((BU48)-(0)&gt;0,"X",IF((BV48)-(0)&gt;0,"?",""))),"")</f>
        <v/>
      </c>
      <c r="BX48" s="209">
        <f>IF(48=48,IF($U48="","",SUMPRODUCT(--ISNUMBER(SEARCH(" "&amp;$CR$2039:$CR$2057&amp;" ",$AA48)))),"")</f>
        <v>0</v>
      </c>
      <c r="BY48" s="209">
        <f>IF(48=48,IF($U48="","",SUMPRODUCT(--ISNUMBER(SEARCH(" "&amp;$CR$2058:$CR$2072&amp;" ",$AA48)))),"")</f>
        <v>0</v>
      </c>
      <c r="BZ48" s="209" t="str">
        <f>IF(48=48,IF($U48="","",IF((BX48)-(0)&gt;0,"X",IF((BY48)-(0)&gt;0,"?",""))),"")</f>
        <v/>
      </c>
      <c r="CA48" s="209">
        <f>IF(48=48,IF($U48="","",SUMPRODUCT(--ISNUMBER(SEARCH(" "&amp;$CR$2073:$CR$2093&amp;" ",$AA48)))),"")</f>
        <v>0</v>
      </c>
      <c r="CB48" s="209">
        <f>IF(48=48,IF($U48="","",SUMPRODUCT(--ISNUMBER(SEARCH(" "&amp;$CR$2094:$CR$2133&amp;" ",SUBSTITUTE(SUBSTITUTE($AA48," "&amp;$CR$1367&amp;" "," ")," "&amp;$CR$1366&amp;" "," "))))+--ISNUMBER(SEARCH("poiré",$V48))),"")</f>
        <v>0</v>
      </c>
      <c r="CC48" s="209" t="str">
        <f>IF(48=48,IF($U48="","",IF(OR(CA48&gt;0,ISNUMBER(SEARCH(" vinaigre de vin ",$AA48)),ISNUMBER(SEARCH(" vinaigre au vin ",$AA48))),"X",IF(CB48&gt;0,"?",""))),"")</f>
        <v/>
      </c>
      <c r="CD48" s="209">
        <f>IF(48=48,IF($U48="","",SUMPRODUCT(--ISNUMBER(SEARCH(" "&amp;$CR$2134:$CR$2146&amp;" ",$AA48)))),"")</f>
        <v>0</v>
      </c>
      <c r="CE48" s="209">
        <f>IF(48=48,IF($U48="","",SUMPRODUCT(--ISNUMBER(SEARCH(" "&amp;$CR$2147:$CR$2152&amp;" ",$AA48)))),"")</f>
        <v>0</v>
      </c>
      <c r="CF48" s="209" t="str">
        <f>IF(48=48,IF($U48="","",IF((CD48)-(0)&gt;0,"X",IF((CE48)-(0)&gt;0,"?",""))),"")</f>
        <v/>
      </c>
      <c r="CG48" s="209">
        <f>IF(48=48,IF($U48="","",SUMPRODUCT(--ISNUMBER(SEARCH(" "&amp;$CR$2153:$CR$2252&amp;" ",$CJ48)))),"")</f>
        <v>0</v>
      </c>
      <c r="CH48" s="209">
        <f>IF(48=48,IF($U48="","",SUMPRODUCT(--ISNUMBER(SEARCH(" "&amp;$CR$2253:$CR$2352&amp;" ",$CJ48)))),"")</f>
        <v>0</v>
      </c>
      <c r="CI48" s="209">
        <f>IF(48=48,IF($U48="","",SUMPRODUCT(--ISNUMBER(SEARCH(" "&amp;$CR$2353:$CR$2395&amp;" ",$CJ48)))),"")</f>
        <v>0</v>
      </c>
      <c r="CJ48" s="209" t="str">
        <f>IF(48=48,IF($U48="","",SUBSTITUTE(SUBSTITUTE(SUBSTITUTE(SUBSTITUTE(SUBSTITUTE(SUBSTITUTE(SUBSTITUTE(SUBSTITUTE(SUBSTITUTE(SUBSTITUTE(SUBSTITUTE(SUBSTITUTE(SUBSTITUTE(SUBSTITUTE(SUBSTITUTE(SUBSTITUTE($AA48,"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jus nectar industriel </v>
      </c>
      <c r="CK48" s="209">
        <f>IF(48=48,IF($U48="","",SUMPRODUCT(--ISNUMBER(SEARCH(" "&amp;$CR$2412:$CR$2416&amp;" ",$CJ48)))),"")</f>
        <v>0</v>
      </c>
      <c r="CL48" s="209" t="str">
        <f>IF(48=48,IF($U48="","",IF(SUM(CG48:CI48)&gt;0,"X",IF(CK48&gt;0,"?",""))),"")</f>
        <v/>
      </c>
      <c r="CM48" s="210"/>
      <c r="CN48" s="213" t="s">
        <v>1074</v>
      </c>
      <c r="CO48" s="213" t="s">
        <v>878</v>
      </c>
      <c r="CP48" s="213" t="s">
        <v>879</v>
      </c>
      <c r="CQ48" s="213" t="s">
        <v>1075</v>
      </c>
      <c r="CR48" s="213" t="s">
        <v>1075</v>
      </c>
      <c r="CS48" s="213" t="s">
        <v>881</v>
      </c>
      <c r="CT48" s="213" t="s">
        <v>882</v>
      </c>
      <c r="CU48" s="213" t="s">
        <v>883</v>
      </c>
      <c r="CV48" s="214" t="s">
        <v>884</v>
      </c>
      <c r="CX48" s="212">
        <v>1</v>
      </c>
    </row>
    <row r="49" spans="1:102" ht="21" customHeight="1">
      <c r="A49" s="229">
        <v>43</v>
      </c>
      <c r="B49" s="230" t="s">
        <v>6630</v>
      </c>
      <c r="C49" s="231" t="str">
        <f t="shared" si="0"/>
        <v>Crème glacée *</v>
      </c>
      <c r="D49" s="232" t="str">
        <f>IF(49=49,IF($B49="","",IF(E49="X",""&amp;"Céréales contenant du gluten","")&amp;IF(F49="X",IF(COUNTIF($E49:$E49,"X")&gt;0,", ","")&amp;"Crustacés","")&amp;IF(G49="X",IF(COUNTIF($E49:$F49,"X")&gt;0,", ","")&amp;"Œufs","")&amp;IF(H49="X",IF(COUNTIF($E49:$G49,"X")&gt;0,", ","")&amp;"Poissons","")&amp;IF(I49="X",IF(COUNTIF($E49:$H49,"X")&gt;0,", ","")&amp;"Arachides","")&amp;IF(J49="X",IF(COUNTIF($E49:$I49,"X")&gt;0,", ","")&amp;"Soja","")&amp;IF(K49="X",IF(COUNTIF($E49:$J49,"X")&gt;0,", ","")&amp;"Lait","")&amp;IF(L49="X",IF(COUNTIF($E49:$K49,"X")&gt;0,", ","")&amp;"Fruits à coque","")&amp;IF(M49="X",IF(COUNTIF($E49:$L49,"X")&gt;0,", ","")&amp;"Céleri","")&amp;IF(N49="X",IF(COUNTIF($E49:$M49,"X")&gt;0,", ","")&amp;"Moutarde","")&amp;IF(O49="X",IF(COUNTIF($E49:$N49,"X")&gt;0,", ","")&amp;"Sésame","")&amp;IF(P49="X",IF(COUNTIF($E49:$O49,"X")&gt;0,", ","")&amp;"Sulfites","")&amp;IF(Q49="X",IF(COUNTIF($E49:$P49,"X")&gt;0,", ","")&amp;"Lupin","")&amp;IF(R49="X",IF(COUNTIF($E49:$Q49,"X")&gt;0,", ","")&amp;"Mollusques","")),"")</f>
        <v>Lait</v>
      </c>
      <c r="E49" s="233" t="str">
        <f>IF(49=49,IF($B49="","",IF(OR(ISNUMBER(SEARCH(" biere sans gluten ",$AA49)),ISNUMBER(SEARCH(" gluten free beer ",$AA49)),ISNUMBER(SEARCH(" beer gluten free ",$AA49))),"",IF(AF49="X","X",IF(OR(AF49="?",OR(ISNUMBER(SEARCH(" worcestershire ",$AA49)),ISNUMBER(SEARCH(" bloody mary ",$AA49)))),"?","")))),"")</f>
        <v/>
      </c>
      <c r="F49" s="233" t="str">
        <f>IF(49=49,IF($B49="","",AI49),"")</f>
        <v/>
      </c>
      <c r="G49" s="233" t="str">
        <f>IF(49=49,IF($B49="","",IF(OR(TRIM($AA49)="puree pate d amande",TRIM($AA49)="pate puree d amande",TRIM($AA49)="puree d amande",TRIM($AA49)="pate d amande",TRIM($AA49)="pate puree de noisette",TRIM($AA49)="puree pate de noisette",TRIM($AA49)="puree de noisette",TRIM($AA49)="pate de noisette"),"",IF(OR(AM49="X",OR(ISNUMBER(SEARCH(" macaron ",$AA49)),ISNUMBER(SEARCH(" egg nog ",$AA49)),ISNUMBER(SEARCH(" eggnog ",$AA49)))),"X",IF(OR(AM49="?",OR(ISNUMBER(SEARCH(" biscuit decoratif ",$AA49)),ISNUMBER(SEARCH(" whisky sour ",$AA49)),ISNUMBER(SEARCH(" whiskey sour ",$AA49)),ISNUMBER(SEARCH(" amaretto sour ",$AA49)),ISNUMBER(SEARCH(" pisco sour ",$AA49)),ISNUMBER(SEARCH(" clover club ",$AA49)),ISNUMBER(SEARCH(" ramos gin fizz ",$AA49)))),"?","")))),"")</f>
        <v>?</v>
      </c>
      <c r="H49" s="233" t="str">
        <f>IF(49=49,IF($B49="","",IF(ISNUMBER(SEARCH(" colin ",$AA49)),"X",IF(AZ49="X","X",IF(OR(AZ49="?",OR(ISNUMBER(SEARCH(" worcestershire ",$AA49)),ISNUMBER(SEARCH(" bloody mary ",$AA49)))),"?","")))),"")</f>
        <v/>
      </c>
      <c r="I49" s="233" t="str">
        <f>IF(49=49,IF($B49="","",BB49),"")</f>
        <v/>
      </c>
      <c r="J49" s="233" t="str">
        <f>IF(49=49,IF($B49="","",BF49),"")</f>
        <v/>
      </c>
      <c r="K49" s="233" t="str">
        <f>IF(49=49,IF($B49="","",IF(OR(OR(TRIM($AA49)="puree pate d amande",TRIM($AA49)="pate puree d amande",TRIM($AA49)="puree d amande",TRIM($AA49)="pate d amande",TRIM($AA49)="pate puree de noisette",TRIM($AA49)="puree pate de noisette",TRIM($AA49)="puree de noisette",TRIM($AA49)="pate de noisette"),OR(TRIM($AA49)="beurre puree d arachide",TRIM($AA49)="beurre d arachide",TRIM($AA49)="puree d arachide"),OR(TRIM($AA49)="tahini puree de sesame",TRIM($AA49)="tahini",TRIM($AA49)="puree de sesame")),"",IF(OR(TRIM($AA49)="creme de cassis",TRIM($AA49)="creme de menthe",TRIM($AA49)="creme de cacao",TRIM($AA49)="creme de mure",TRIM($AA49)="creme de framboise",TRIM($AA49)="creme de peche",TRIM($AA49)="creme de banane",TRIM($AA49)="liqueur creme de coco",TRIM($AA49)="creme de coco",TRIM($AA49)="spiritueux aromatise arrange creme de spiritueux"),"?",IF(OR(BM49="X",OR(ISNUMBER(SEARCH(" baileys ",$AA49)),ISNUMBER(SEARCH(" irish cream ",$AA49)),ISNUMBER(SEARCH(" creme de whisky ",$AA49)))),"X",IF(OR(BM49="?",OR(OR(TRIM($AA49)="creme de cassis",TRIM($AA49)="creme de menthe",TRIM($AA49)="creme de cacao",TRIM($AA49)="creme de mure",TRIM($AA49)="creme de framboise",TRIM($AA49)="creme de peche",TRIM($AA49)="creme de banane",TRIM($AA49)="liqueur creme de coco",TRIM($AA49)="creme de coco",TRIM($AA49)="spiritueux aromatise arrange creme de spiritueux"),ISNUMBER(SEARCH(" advocaat ",$AA49)),ISNUMBER(SEARCH(" liqueur aux oeufs ",$AA49)),ISNUMBER(SEARCH(" liqueur de chocolat ",$AA49)),ISNUMBER(SEARCH(" liqueur de caramel ",$AA49)),ISNUMBER(SEARCH(" sauce nappage chocolat ",$AA49)),ISNUMBER(SEARCH(" biscuit decoratif ",$AA49)),ISNUMBER(SEARCH(" white russian ",$AA49)),ISNUMBER(SEARCH(" grasshopper ",$AA49)),ISNUMBER(SEARCH(" irish coffee ",$AA49)),ISNUMBER(SEARCH(" ramos gin fizz ",$AA49)),ISNUMBER(SEARCH(" egg nog ",$AA49)),ISNUMBER(SEARCH(" eggnog ",$AA49)))),"?",""))))),"")</f>
        <v>X</v>
      </c>
      <c r="L49" s="233" t="str">
        <f>IF(49=49,IF($B49="","",IF(OR(BQ49="X",OR(OR(TRIM($AA49)="puree pate d amande",TRIM($AA49)="pate puree d amande",TRIM($AA49)="puree d amande",TRIM($AA49)="pate d amande",TRIM($AA49)="pate puree de noisette",TRIM($AA49)="puree pate de noisette",TRIM($AA49)="puree de noisette",TRIM($AA49)="pate de noisette"),ISNUMBER(SEARCH(" macaron ",$AA49)),TRIM($AA49)="fruits a coque")),"X",IF(OR(BQ49="?",OR(ISNUMBER(SEARCH(" sirop d orgeat ",$AA49)),ISNUMBER(SEARCH(" orgeat ",$AA49)),ISNUMBER(SEARCH(" amaretto ",$AA49)))),"?",""))),"")</f>
        <v/>
      </c>
      <c r="M49" s="233" t="str">
        <f>IF(49=49,IF($B49="","",IF(OR(OR(TRIM($AA49)="puree pate d amande",TRIM($AA49)="pate puree d amande",TRIM($AA49)="puree d amande",TRIM($AA49)="pate d amande",TRIM($AA49)="pate puree de noisette",TRIM($AA49)="puree pate de noisette",TRIM($AA49)="puree de noisette",TRIM($AA49)="pate de noisette"),OR(TRIM($AA49)="tahini puree de sesame",TRIM($AA49)="tahini",TRIM($AA49)="puree de sesame")),"",IF(BT49="X","X",IF(OR(BT49="?",ISNUMBER(SEARCH(" bloody mary ",$AA49))),"?","")))),"")</f>
        <v/>
      </c>
      <c r="N49" s="233" t="str">
        <f>IF(49=49,IF($B49="","",IF(OR(OR(TRIM($AA49)="puree pate d amande",TRIM($AA49)="pate puree d amande",TRIM($AA49)="puree d amande",TRIM($AA49)="pate d amande",TRIM($AA49)="pate puree de noisette",TRIM($AA49)="puree pate de noisette",TRIM($AA49)="puree de noisette",TRIM($AA49)="pate de noisette"),OR(TRIM($AA49)="tahini puree de sesame",TRIM($AA49)="tahini",TRIM($AA49)="puree de sesame")),"",IF(BW49="X","X",IF(OR(BW49="?",ISNUMBER(SEARCH(" bloody mary ",$AA49))),"?","")))),"")</f>
        <v/>
      </c>
      <c r="O49" s="233" t="str">
        <f>IF(49=49,IF($B49="","",BZ49),"")</f>
        <v/>
      </c>
      <c r="P49" s="233" t="str">
        <f>IF(49=49,IF($B49="","",CC49),"")</f>
        <v/>
      </c>
      <c r="Q49" s="233" t="str">
        <f>IF(49=49,IF($B49="","",CF49),"")</f>
        <v/>
      </c>
      <c r="R49" s="233" t="str">
        <f>IF(49=49,IF($B49="","",IF(TRIM($AA49)="fruits a coque","",IF(CL49="X","X",IF(OR(CL49="?",OR(ISNUMBER(SEARCH(" clamato ",$AA49)),ISNUMBER(SEARCH(" bloody caesar ",$AA49)))),"?","")))),"")</f>
        <v/>
      </c>
      <c r="S49" s="234" t="str">
        <f>IF(49=49,IF($B49="","",IF(E49="?",""&amp;"Céréales contenant du gluten","")&amp;IF(F49="?",IF(COUNTIF($E49:$E49,"~?")&gt;0,", ","")&amp;"Crustacés","")&amp;IF(G49="?",IF(COUNTIF($E49:$F49,"~?")&gt;0,", ","")&amp;"Œufs","")&amp;IF(H49="?",IF(COUNTIF($E49:$G49,"~?")&gt;0,", ","")&amp;"Poissons","")&amp;IF(I49="?",IF(COUNTIF($E49:$H49,"~?")&gt;0,", ","")&amp;"Arachides","")&amp;IF(J49="?",IF(COUNTIF($E49:$I49,"~?")&gt;0,", ","")&amp;"Soja","")&amp;IF(K49="?",IF(COUNTIF($E49:$J49,"~?")&gt;0,", ","")&amp;"Lait","")&amp;IF(L49="?",IF(COUNTIF($E49:$K49,"~?")&gt;0,", ","")&amp;"Fruits à coque","")&amp;IF(M49="?",IF(COUNTIF($E49:$L49,"~?")&gt;0,", ","")&amp;"Céleri","")&amp;IF(N49="?",IF(COUNTIF($E49:$M49,"~?")&gt;0,", ","")&amp;"Moutarde","")&amp;IF(O49="?",IF(COUNTIF($E49:$N49,"~?")&gt;0,", ","")&amp;"Sésame","")&amp;IF(P49="?",IF(COUNTIF($E49:$O49,"~?")&gt;0,", ","")&amp;"Sulfites","")&amp;IF(Q49="?",IF(COUNTIF($E49:$P49,"~?")&gt;0,", ","")&amp;"Lupin","")&amp;IF(R49="?",IF(COUNTIF($E49:$Q49,"~?")&gt;0,", ","")&amp;"Mollusques","")),"")</f>
        <v>Œufs</v>
      </c>
      <c r="U49" s="209" t="str">
        <f>IF(49=49,IF($B49="","",$B49),"")</f>
        <v>Crème glacée</v>
      </c>
      <c r="V49" s="209" t="str">
        <f>IF(49=49,LOWER(CLEAN(SUBSTITUTE(SUBSTITUTE(SUBSTITUTE(SUBSTITUTE($U49,CHAR(160)," ")," "," "),CHAR(10)," "),CHAR(13)," "))),"")</f>
        <v>crème glacée</v>
      </c>
      <c r="W49" s="209" t="str">
        <f>IF(49=49,SUBSTITUTE(SUBSTITUTE(SUBSTITUTE(SUBSTITUTE(SUBSTITUTE(SUBSTITUTE(SUBSTITUTE(SUBSTITUTE(SUBSTITUTE(SUBSTITUTE(SUBSTITUTE(SUBSTITUTE($V49,"œ","oe"),"æ","ae"),"à","a"),"á","a"),"â","a"),"ä","a"),"ã","a"),"ç","c"),"è","e"),"é","e"),"ê","e"),"ë","e"),"")</f>
        <v>creme glacee</v>
      </c>
      <c r="X49" s="209" t="str">
        <f>IF(49=49,SUBSTITUTE(SUBSTITUTE(SUBSTITUTE(SUBSTITUTE(SUBSTITUTE(SUBSTITUTE(SUBSTITUTE(SUBSTITUTE(SUBSTITUTE(SUBSTITUTE(SUBSTITUTE(SUBSTITUTE(SUBSTITUTE(SUBSTITUTE(SUBSTITUTE(SUBSTITUTE($W49,"ì","i"),"í","i"),"î","i"),"ï","i"),"ñ","n"),"ò","o"),"ó","o"),"ô","o"),"ö","o"),"õ","o"),"ù","u"),"ú","u"),"û","u"),"ü","u"),"ý","y"),"ÿ","y"),"")</f>
        <v>creme glacee</v>
      </c>
      <c r="Y49" s="209" t="str">
        <f>IF(49=49,SUBSTITUTE(SUBSTITUTE(SUBSTITUTE(SUBSTITUTE(SUBSTITUTE(SUBSTITUTE(SUBSTITUTE(SUBSTITUTE(SUBSTITUTE(SUBSTITUTE(SUBSTITUTE(SUBSTITUTE(SUBSTITUTE(SUBSTITUTE($X49,"’"," "),"`"," "),"–"," "),"—"," "),"-"," "),"'"," "),"/"," "),"_"," "),","," "),"."," "),"("," "),")"," "),";"," "),":"," "),"")</f>
        <v>creme glacee</v>
      </c>
      <c r="Z49" s="209" t="str">
        <f>IF(49=49,SUBSTITUTE(SUBSTITUTE(SUBSTITUTE(SUBSTITUTE(SUBSTITUTE(SUBSTITUTE(SUBSTITUTE(SUBSTITUTE(SUBSTITUTE(SUBSTITUTE(SUBSTITUTE(SUBSTITUTE(SUBSTITUTE(SUBSTITUTE(SUBSTITUTE($Y49,"!"," "),"?"," "),"+"," "),"*"," "),"&amp;"," "),"["," "),"]"," "),"{"," "),"}"," "),"%"," "),"="," "),"\"," "),"|"," "),"&lt;"," "),"&gt;"," "),"")</f>
        <v>creme glacee</v>
      </c>
      <c r="AA49" s="209" t="str">
        <f>IF(49=49," "&amp;TRIM(SUBSTITUTE(SUBSTITUTE(SUBSTITUTE(SUBSTITUTE(SUBSTITUTE(SUBSTITUTE($Z49,CHAR(34)," "),"  "," "),"  "," "),"  "," "),"  "," "),"  "," "))&amp;" ","")</f>
        <v xml:space="preserve"> creme glacee </v>
      </c>
      <c r="AB49" s="209">
        <f>IF(49=49,IF($U49="","",SUMPRODUCT(--ISNUMBER(SEARCH(" "&amp;$CR$2:$CR$101&amp;" ",$AD49)))),"")</f>
        <v>0</v>
      </c>
      <c r="AC49" s="209">
        <f>IF(49=49,IF($U49="","",SUMPRODUCT(--ISNUMBER(SEARCH(" "&amp;$CR$102:$CR$151&amp;" ",$AD49)))),"")</f>
        <v>0</v>
      </c>
      <c r="AD49" s="209" t="str">
        <f t="shared" si="1"/>
        <v xml:space="preserve"> creme glacee </v>
      </c>
      <c r="AE49" s="209">
        <f t="shared" si="2"/>
        <v>0</v>
      </c>
      <c r="AF49" s="209" t="str">
        <f>IF(49=49,IF($U49="","",IF(SUM(AB49:AC49)+SUMPRODUCT(--ISNUMBER(SEARCH(" "&amp;$CR$2418:$CR$2420&amp;" ",$AD49)))&gt;0,"X",IF(AE49&gt;0,"?",""))),"")</f>
        <v/>
      </c>
      <c r="AG49" s="209">
        <f>IF(49=49,IF($U49="","",SUMPRODUCT(--ISNUMBER(SEARCH(" "&amp;$CR$206:$CR$305&amp;" ",$AA49)))),"")</f>
        <v>0</v>
      </c>
      <c r="AH49" s="209">
        <f>IF(49=49,IF($U49="","",SUMPRODUCT(--ISNUMBER(SEARCH(" "&amp;$CR$306:$CR$340&amp;" ",$AA49)))),"")</f>
        <v>0</v>
      </c>
      <c r="AI49" s="209" t="str">
        <f>IF(49=49,IF($U49="","",IF((SUM(AG49:AH49))-(0)&gt;0,"X",IF((0)-(0)&gt;0,"?",""))),"")</f>
        <v/>
      </c>
      <c r="AJ49" s="209">
        <f>IF(49=49,IF($U49="","",SUMPRODUCT(--ISNUMBER(SEARCH(" "&amp;$CR$341:$CR$398&amp;" ",$AA49)))),"")</f>
        <v>0</v>
      </c>
      <c r="AK49" s="209">
        <f>IF(49=49,IF($U49="","",SUMPRODUCT(--ISNUMBER(SEARCH(" "&amp;$CR$399:$CR$426&amp;" ",$AL49)))+SUMPRODUCT(--ISNUMBER(SEARCH(" "&amp;$CR$2440:$CR$2453&amp;" ",$AL49)))),"")</f>
        <v>1</v>
      </c>
      <c r="AL49" s="209" t="str">
        <f>IF(49=49,IF($U49="","",SUBSTITUTE(SUBSTITUTE(SUBSTITUTE(SUBSTITUTE(SUBSTITUTE(SUBSTITUTE(SUBSTITUTE(SUBSTITUTE(SUBSTITUTE(SUBSTITUTE(SUBSTITUTE(SUBSTITUTE(SUBSTITUTE(SUBSTITUTE($AA49,"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creme glacee </v>
      </c>
      <c r="AM49" s="209" t="str">
        <f>IF(49=49,IF($U49="","",IF(AJ49&gt;0,"X",IF(AK49&gt;0,"?",""))),"")</f>
        <v>?</v>
      </c>
      <c r="AN49" s="209">
        <f>IF(49=49,IF($U49="","",SUMPRODUCT(--ISNUMBER(SEARCH(" "&amp;$CR$436:$CR$535&amp;" ",$AX49)))),"")</f>
        <v>0</v>
      </c>
      <c r="AO49" s="209">
        <f>IF(49=49,IF($U49="","",SUMPRODUCT(--ISNUMBER(SEARCH(" "&amp;$CR$536:$CR$635&amp;" ",$AX49)))),"")</f>
        <v>0</v>
      </c>
      <c r="AP49" s="209">
        <f>IF(49=49,IF($U49="","",SUMPRODUCT(--ISNUMBER(SEARCH(" "&amp;$CR$636:$CR$735&amp;" ",$AX49)))),"")</f>
        <v>0</v>
      </c>
      <c r="AQ49" s="209">
        <f>IF(49=49,IF($U49="","",SUMPRODUCT(--ISNUMBER(SEARCH(" "&amp;$CR$736:$CR$835&amp;" ",$AX49)))),"")</f>
        <v>0</v>
      </c>
      <c r="AR49" s="209">
        <f>IF(49=49,IF($U49="","",SUMPRODUCT(--ISNUMBER(SEARCH(" "&amp;$CR$836:$CR$935&amp;" ",$AX49)))),"")</f>
        <v>0</v>
      </c>
      <c r="AS49" s="209">
        <f>IF(49=49,IF($U49="","",SUMPRODUCT(--ISNUMBER(SEARCH(" "&amp;$CR$936:$CR$1035&amp;" ",$AX49)))),"")</f>
        <v>0</v>
      </c>
      <c r="AT49" s="209">
        <f>IF(49=49,IF($U49="","",SUMPRODUCT(--ISNUMBER(SEARCH(" "&amp;$CR$1036:$CR$1135&amp;" ",$AX49)))),"")</f>
        <v>0</v>
      </c>
      <c r="AU49" s="209">
        <f>IF(49=49,IF($U49="","",SUMPRODUCT(--ISNUMBER(SEARCH(" "&amp;$CR$1136:$CR$1235&amp;" ",$AX49)))),"")</f>
        <v>0</v>
      </c>
      <c r="AV49" s="209">
        <f>IF(49=49,IF($U49="","",SUMPRODUCT(--ISNUMBER(SEARCH(" "&amp;$CR$1236:$CR$1335&amp;" ",$AX49)))),"")</f>
        <v>0</v>
      </c>
      <c r="AW49" s="209">
        <f>IF(49=49,IF($U49="","",SUMPRODUCT(--ISNUMBER(SEARCH(" "&amp;$CR$1336:$CR$1363&amp;" ",$AX49)))),"")</f>
        <v>0</v>
      </c>
      <c r="AX49" s="209" t="str">
        <f>IF(49=49,IF($U49="","",SUBSTITUTE(SUBSTITUTE(SUBSTITUTE(SUBSTITUTE(SUBSTITUTE(SUBSTITUTE(SUBSTITUTE(SUBSTITUTE(SUBSTITUTE($AA49,"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creme glacee </v>
      </c>
      <c r="AY49" s="209">
        <f>IF(49=49,IF($U49="","",SUMPRODUCT(--ISNUMBER(SEARCH(" "&amp;$CR$1373:$CR$1383&amp;" ",$AX49)))),"")</f>
        <v>0</v>
      </c>
      <c r="AZ49" s="209" t="str">
        <f>IF(49=49,IF($U49="","",IF(SUM(AN49:AW49)+SUMPRODUCT(--ISNUMBER(SEARCH(" "&amp;$CR$2421:$CR$2422&amp;" ",$AX49)))&gt;0,"X",IF(AY49&gt;0,"?",""))),"")</f>
        <v/>
      </c>
      <c r="BA49" s="209">
        <f>IF(49=49,IF($U49="","",SUMPRODUCT(--ISNUMBER(SEARCH(" "&amp;$CR$1384:$CR$1404&amp;" ",$AA49)))),"")</f>
        <v>0</v>
      </c>
      <c r="BB49" s="209" t="str">
        <f>IF(49=49,IF($U49="","",IF((BA49)-(0)&gt;0,"X",IF((0)-(0)&gt;0,"?",""))),"")</f>
        <v/>
      </c>
      <c r="BC49" s="209">
        <f>IF(49=49,IF($U49="","",SUMPRODUCT(--ISNUMBER(SEARCH(" "&amp;$CR$1405:$CR$1442&amp;" ",$BD49)))),"")</f>
        <v>0</v>
      </c>
      <c r="BD49" s="209" t="str">
        <f>IF(49=49,IF($U49="","",SUBSTITUTE(SUBSTITUTE($AA49," "&amp;$CR$1443&amp;" "," ")," "&amp;$CR$1444&amp;" "," ")),"")</f>
        <v xml:space="preserve"> creme glacee </v>
      </c>
      <c r="BE49" s="209">
        <f>IF(49=49,IF($U49="","",SUMPRODUCT(--ISNUMBER(SEARCH(" "&amp;$CR$1445:$CR$1455&amp;" ",$BD49)))),"")</f>
        <v>0</v>
      </c>
      <c r="BF49" s="209" t="str">
        <f>IF(49=49,IF($U49="","",IF(BC49&gt;0,"X",IF(BE49&gt;0,"?",""))),"")</f>
        <v/>
      </c>
      <c r="BG49" s="209">
        <f>IF(49=49,IF($U49="","",SUMPRODUCT(--ISNUMBER(SEARCH(" "&amp;$CR$1456:$CR$1555&amp;" ",$BJ49)))),"")</f>
        <v>2</v>
      </c>
      <c r="BH49" s="209">
        <f>IF(49=49,IF($U49="","",SUMPRODUCT(--ISNUMBER(SEARCH(" "&amp;$CR$1556:$CR$1655&amp;" ",$BJ49)))),"")</f>
        <v>0</v>
      </c>
      <c r="BI49" s="209">
        <f>IF(49=49,IF($U49="","",SUMPRODUCT(--ISNUMBER(SEARCH(" "&amp;$CR$1656:$CR$1739&amp;" ",$BJ49)))),"")</f>
        <v>0</v>
      </c>
      <c r="BJ49" s="209" t="str">
        <f>IF(49=49,IF($U49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49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creme glacee </v>
      </c>
      <c r="BK49" s="209">
        <f>IF(49=49,IF($U49="","",SUMPRODUCT(--ISNUMBER(SEARCH(" "&amp;$CR$1790:$CR$1869&amp;" ",$BL49)))+SUMPRODUCT(--ISNUMBER(SEARCH(" "&amp;$CR$2440:$CR$2453&amp;" ",$BL49)))),"")</f>
        <v>0</v>
      </c>
      <c r="BL49" s="209" t="str">
        <f>IF(49=49,IF($U49="","",SUBSTITUTE(SUBSTITUTE(SUBSTITUTE(SUBSTITUTE(SUBSTITUTE(SUBSTITUTE(SUBSTITUTE(SUBSTITUTE(SUBSTITUTE(SUBSTITUTE(SUBSTITUTE(SUBSTITUTE(SUBSTITUTE($BJ49,"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creme glacee </v>
      </c>
      <c r="BM49" s="209" t="str">
        <f>IF(49=49,IF($U49="","",IF(SUM(BG49:BI49)+SUMPRODUCT(--ISNUMBER(SEARCH(" "&amp;$CR$2423:$CR$2424&amp;" ",$BJ49)))&gt;0,"X",IF(BK49&gt;0,"?",""))),"")</f>
        <v>X</v>
      </c>
      <c r="BN49" s="209">
        <f>IF(49=49,IF($U49="","",SUMPRODUCT(--ISNUMBER(SEARCH(" "&amp;$CR$1879:$CR$1936&amp;" ",$BO49)))),"")</f>
        <v>0</v>
      </c>
      <c r="BO49" s="209" t="str">
        <f>IF(49=49,IF($U49="","",SUBSTITUTE(SUBSTITUTE(SUBSTITUTE(SUBSTITUTE(SUBSTITUTE(SUBSTITUTE(SUBSTITUTE(SUBSTITUTE(SUBSTITUTE(SUBSTITUTE(SUBSTITUTE(SUBSTITUTE(SUBSTITUTE(SUBSTITUTE(SUBSTITUTE(SUBSTITUTE(SUBSTITUTE(SUBSTITUTE(SUBSTITUTE(SUBSTITUTE(SUBSTITUTE(SUBSTITUTE(SUBSTITUTE($AA49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creme glacee </v>
      </c>
      <c r="BP49" s="209">
        <f>IF(49=49,IF($U49="","",SUMPRODUCT(--ISNUMBER(SEARCH(" "&amp;$CR$1960:$CR$1976&amp;" ",$BO49)))),"")</f>
        <v>0</v>
      </c>
      <c r="BQ49" s="209" t="str">
        <f>IF(49=49,IF($U49="","",IF(BN49&gt;0,"X",IF(BP49&gt;0,"?",""))),"")</f>
        <v/>
      </c>
      <c r="BR49" s="209">
        <f>IF(49=49,IF($U49="","",SUMPRODUCT(--ISNUMBER(SEARCH(" "&amp;$CR$1977:$CR$1990&amp;" ",$AA49)))),"")</f>
        <v>0</v>
      </c>
      <c r="BS49" s="209">
        <f>IF(49=49,IF($U49="","",SUMPRODUCT(--ISNUMBER(SEARCH(" "&amp;$CR$1991:$CR$2005&amp;" ",$AA49)))),"")</f>
        <v>0</v>
      </c>
      <c r="BT49" s="209" t="str">
        <f>IF(49=49,IF($U49="","",IF((BR49)-(0)&gt;0,"X",IF((BS49)-(0)&gt;0,"?",""))),"")</f>
        <v/>
      </c>
      <c r="BU49" s="209">
        <f>IF(49=49,IF($U49="","",SUMPRODUCT(--ISNUMBER(SEARCH(" "&amp;$CR$2006:$CR$2023&amp;" ",$AA49)))),"")</f>
        <v>0</v>
      </c>
      <c r="BV49" s="209">
        <f>IF(49=49,IF($U49="","",SUMPRODUCT(--ISNUMBER(SEARCH(" "&amp;$CR$2024:$CR$2038&amp;" ",$AA49)))),"")</f>
        <v>0</v>
      </c>
      <c r="BW49" s="209" t="str">
        <f>IF(49=49,IF($U49="","",IF((BU49)-(0)&gt;0,"X",IF((BV49)-(0)&gt;0,"?",""))),"")</f>
        <v/>
      </c>
      <c r="BX49" s="209">
        <f>IF(49=49,IF($U49="","",SUMPRODUCT(--ISNUMBER(SEARCH(" "&amp;$CR$2039:$CR$2057&amp;" ",$AA49)))),"")</f>
        <v>0</v>
      </c>
      <c r="BY49" s="209">
        <f>IF(49=49,IF($U49="","",SUMPRODUCT(--ISNUMBER(SEARCH(" "&amp;$CR$2058:$CR$2072&amp;" ",$AA49)))),"")</f>
        <v>0</v>
      </c>
      <c r="BZ49" s="209" t="str">
        <f>IF(49=49,IF($U49="","",IF((BX49)-(0)&gt;0,"X",IF((BY49)-(0)&gt;0,"?",""))),"")</f>
        <v/>
      </c>
      <c r="CA49" s="209">
        <f>IF(49=49,IF($U49="","",SUMPRODUCT(--ISNUMBER(SEARCH(" "&amp;$CR$2073:$CR$2093&amp;" ",$AA49)))),"")</f>
        <v>0</v>
      </c>
      <c r="CB49" s="209">
        <f>IF(49=49,IF($U49="","",SUMPRODUCT(--ISNUMBER(SEARCH(" "&amp;$CR$2094:$CR$2133&amp;" ",SUBSTITUTE(SUBSTITUTE($AA49," "&amp;$CR$1367&amp;" "," ")," "&amp;$CR$1366&amp;" "," "))))+--ISNUMBER(SEARCH("poiré",$V49))),"")</f>
        <v>0</v>
      </c>
      <c r="CC49" s="209" t="str">
        <f>IF(49=49,IF($U49="","",IF(OR(CA49&gt;0,ISNUMBER(SEARCH(" vinaigre de vin ",$AA49)),ISNUMBER(SEARCH(" vinaigre au vin ",$AA49))),"X",IF(CB49&gt;0,"?",""))),"")</f>
        <v/>
      </c>
      <c r="CD49" s="209">
        <f>IF(49=49,IF($U49="","",SUMPRODUCT(--ISNUMBER(SEARCH(" "&amp;$CR$2134:$CR$2146&amp;" ",$AA49)))),"")</f>
        <v>0</v>
      </c>
      <c r="CE49" s="209">
        <f>IF(49=49,IF($U49="","",SUMPRODUCT(--ISNUMBER(SEARCH(" "&amp;$CR$2147:$CR$2152&amp;" ",$AA49)))),"")</f>
        <v>0</v>
      </c>
      <c r="CF49" s="209" t="str">
        <f>IF(49=49,IF($U49="","",IF((CD49)-(0)&gt;0,"X",IF((CE49)-(0)&gt;0,"?",""))),"")</f>
        <v/>
      </c>
      <c r="CG49" s="209">
        <f>IF(49=49,IF($U49="","",SUMPRODUCT(--ISNUMBER(SEARCH(" "&amp;$CR$2153:$CR$2252&amp;" ",$CJ49)))),"")</f>
        <v>0</v>
      </c>
      <c r="CH49" s="209">
        <f>IF(49=49,IF($U49="","",SUMPRODUCT(--ISNUMBER(SEARCH(" "&amp;$CR$2253:$CR$2352&amp;" ",$CJ49)))),"")</f>
        <v>0</v>
      </c>
      <c r="CI49" s="209">
        <f>IF(49=49,IF($U49="","",SUMPRODUCT(--ISNUMBER(SEARCH(" "&amp;$CR$2353:$CR$2395&amp;" ",$CJ49)))),"")</f>
        <v>0</v>
      </c>
      <c r="CJ49" s="209" t="str">
        <f>IF(49=49,IF($U49="","",SUBSTITUTE(SUBSTITUTE(SUBSTITUTE(SUBSTITUTE(SUBSTITUTE(SUBSTITUTE(SUBSTITUTE(SUBSTITUTE(SUBSTITUTE(SUBSTITUTE(SUBSTITUTE(SUBSTITUTE(SUBSTITUTE(SUBSTITUTE(SUBSTITUTE(SUBSTITUTE($AA49,"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creme glacee </v>
      </c>
      <c r="CK49" s="209">
        <f>IF(49=49,IF($U49="","",SUMPRODUCT(--ISNUMBER(SEARCH(" "&amp;$CR$2412:$CR$2416&amp;" ",$CJ49)))),"")</f>
        <v>0</v>
      </c>
      <c r="CL49" s="209" t="str">
        <f>IF(49=49,IF($U49="","",IF(SUM(CG49:CI49)&gt;0,"X",IF(CK49&gt;0,"?",""))),"")</f>
        <v/>
      </c>
      <c r="CM49" s="210"/>
      <c r="CN49" s="213" t="s">
        <v>1076</v>
      </c>
      <c r="CO49" s="213" t="s">
        <v>878</v>
      </c>
      <c r="CP49" s="213" t="s">
        <v>879</v>
      </c>
      <c r="CQ49" s="213" t="s">
        <v>1077</v>
      </c>
      <c r="CR49" s="213" t="s">
        <v>1078</v>
      </c>
      <c r="CS49" s="213" t="s">
        <v>881</v>
      </c>
      <c r="CT49" s="213" t="s">
        <v>882</v>
      </c>
      <c r="CU49" s="213" t="s">
        <v>883</v>
      </c>
      <c r="CV49" s="214" t="s">
        <v>884</v>
      </c>
      <c r="CX49" s="212">
        <v>1</v>
      </c>
    </row>
    <row r="50" spans="1:102" ht="21" customHeight="1">
      <c r="A50" s="229">
        <v>44</v>
      </c>
      <c r="B50" s="230" t="s">
        <v>6635</v>
      </c>
      <c r="C50" s="231" t="str">
        <f t="shared" si="0"/>
        <v>Sorbet — recette non précisée ?</v>
      </c>
      <c r="D50" s="232" t="str">
        <f>IF(50=50,IF($B50="","",IF(E50="X",""&amp;"Céréales contenant du gluten","")&amp;IF(F50="X",IF(COUNTIF($E50:$E50,"X")&gt;0,", ","")&amp;"Crustacés","")&amp;IF(G50="X",IF(COUNTIF($E50:$F50,"X")&gt;0,", ","")&amp;"Œufs","")&amp;IF(H50="X",IF(COUNTIF($E50:$G50,"X")&gt;0,", ","")&amp;"Poissons","")&amp;IF(I50="X",IF(COUNTIF($E50:$H50,"X")&gt;0,", ","")&amp;"Arachides","")&amp;IF(J50="X",IF(COUNTIF($E50:$I50,"X")&gt;0,", ","")&amp;"Soja","")&amp;IF(K50="X",IF(COUNTIF($E50:$J50,"X")&gt;0,", ","")&amp;"Lait","")&amp;IF(L50="X",IF(COUNTIF($E50:$K50,"X")&gt;0,", ","")&amp;"Fruits à coque","")&amp;IF(M50="X",IF(COUNTIF($E50:$L50,"X")&gt;0,", ","")&amp;"Céleri","")&amp;IF(N50="X",IF(COUNTIF($E50:$M50,"X")&gt;0,", ","")&amp;"Moutarde","")&amp;IF(O50="X",IF(COUNTIF($E50:$N50,"X")&gt;0,", ","")&amp;"Sésame","")&amp;IF(P50="X",IF(COUNTIF($E50:$O50,"X")&gt;0,", ","")&amp;"Sulfites","")&amp;IF(Q50="X",IF(COUNTIF($E50:$P50,"X")&gt;0,", ","")&amp;"Lupin","")&amp;IF(R50="X",IF(COUNTIF($E50:$Q50,"X")&gt;0,", ","")&amp;"Mollusques","")),"")</f>
        <v/>
      </c>
      <c r="E50" s="233" t="str">
        <f>IF(50=50,IF($B50="","",IF(OR(ISNUMBER(SEARCH(" biere sans gluten ",$AA50)),ISNUMBER(SEARCH(" gluten free beer ",$AA50)),ISNUMBER(SEARCH(" beer gluten free ",$AA50))),"",IF(AF50="X","X",IF(OR(AF50="?",OR(ISNUMBER(SEARCH(" worcestershire ",$AA50)),ISNUMBER(SEARCH(" bloody mary ",$AA50)))),"?","")))),"")</f>
        <v/>
      </c>
      <c r="F50" s="233" t="str">
        <f>IF(50=50,IF($B50="","",AI50),"")</f>
        <v/>
      </c>
      <c r="G50" s="233" t="str">
        <f>IF(50=50,IF($B50="","",IF(OR(TRIM($AA50)="puree pate d amande",TRIM($AA50)="pate puree d amande",TRIM($AA50)="puree d amande",TRIM($AA50)="pate d amande",TRIM($AA50)="pate puree de noisette",TRIM($AA50)="puree pate de noisette",TRIM($AA50)="puree de noisette",TRIM($AA50)="pate de noisette"),"",IF(OR(AM50="X",OR(ISNUMBER(SEARCH(" macaron ",$AA50)),ISNUMBER(SEARCH(" egg nog ",$AA50)),ISNUMBER(SEARCH(" eggnog ",$AA50)))),"X",IF(OR(AM50="?",OR(ISNUMBER(SEARCH(" biscuit decoratif ",$AA50)),ISNUMBER(SEARCH(" whisky sour ",$AA50)),ISNUMBER(SEARCH(" whiskey sour ",$AA50)),ISNUMBER(SEARCH(" amaretto sour ",$AA50)),ISNUMBER(SEARCH(" pisco sour ",$AA50)),ISNUMBER(SEARCH(" clover club ",$AA50)),ISNUMBER(SEARCH(" ramos gin fizz ",$AA50)))),"?","")))),"")</f>
        <v>?</v>
      </c>
      <c r="H50" s="233" t="str">
        <f>IF(50=50,IF($B50="","",IF(ISNUMBER(SEARCH(" colin ",$AA50)),"X",IF(AZ50="X","X",IF(OR(AZ50="?",OR(ISNUMBER(SEARCH(" worcestershire ",$AA50)),ISNUMBER(SEARCH(" bloody mary ",$AA50)))),"?","")))),"")</f>
        <v/>
      </c>
      <c r="I50" s="233" t="str">
        <f>IF(50=50,IF($B50="","",BB50),"")</f>
        <v/>
      </c>
      <c r="J50" s="233" t="str">
        <f>IF(50=50,IF($B50="","",BF50),"")</f>
        <v/>
      </c>
      <c r="K50" s="233" t="str">
        <f>IF(50=50,IF($B50="","",IF(OR(OR(TRIM($AA50)="puree pate d amande",TRIM($AA50)="pate puree d amande",TRIM($AA50)="puree d amande",TRIM($AA50)="pate d amande",TRIM($AA50)="pate puree de noisette",TRIM($AA50)="puree pate de noisette",TRIM($AA50)="puree de noisette",TRIM($AA50)="pate de noisette"),OR(TRIM($AA50)="beurre puree d arachide",TRIM($AA50)="beurre d arachide",TRIM($AA50)="puree d arachide"),OR(TRIM($AA50)="tahini puree de sesame",TRIM($AA50)="tahini",TRIM($AA50)="puree de sesame")),"",IF(OR(TRIM($AA50)="creme de cassis",TRIM($AA50)="creme de menthe",TRIM($AA50)="creme de cacao",TRIM($AA50)="creme de mure",TRIM($AA50)="creme de framboise",TRIM($AA50)="creme de peche",TRIM($AA50)="creme de banane",TRIM($AA50)="liqueur creme de coco",TRIM($AA50)="creme de coco",TRIM($AA50)="spiritueux aromatise arrange creme de spiritueux"),"?",IF(OR(BM50="X",OR(ISNUMBER(SEARCH(" baileys ",$AA50)),ISNUMBER(SEARCH(" irish cream ",$AA50)),ISNUMBER(SEARCH(" creme de whisky ",$AA50)))),"X",IF(OR(BM50="?",OR(OR(TRIM($AA50)="creme de cassis",TRIM($AA50)="creme de menthe",TRIM($AA50)="creme de cacao",TRIM($AA50)="creme de mure",TRIM($AA50)="creme de framboise",TRIM($AA50)="creme de peche",TRIM($AA50)="creme de banane",TRIM($AA50)="liqueur creme de coco",TRIM($AA50)="creme de coco",TRIM($AA50)="spiritueux aromatise arrange creme de spiritueux"),ISNUMBER(SEARCH(" advocaat ",$AA50)),ISNUMBER(SEARCH(" liqueur aux oeufs ",$AA50)),ISNUMBER(SEARCH(" liqueur de chocolat ",$AA50)),ISNUMBER(SEARCH(" liqueur de caramel ",$AA50)),ISNUMBER(SEARCH(" sauce nappage chocolat ",$AA50)),ISNUMBER(SEARCH(" biscuit decoratif ",$AA50)),ISNUMBER(SEARCH(" white russian ",$AA50)),ISNUMBER(SEARCH(" grasshopper ",$AA50)),ISNUMBER(SEARCH(" irish coffee ",$AA50)),ISNUMBER(SEARCH(" ramos gin fizz ",$AA50)),ISNUMBER(SEARCH(" egg nog ",$AA50)),ISNUMBER(SEARCH(" eggnog ",$AA50)))),"?",""))))),"")</f>
        <v>?</v>
      </c>
      <c r="L50" s="233" t="str">
        <f>IF(50=50,IF($B50="","",IF(OR(BQ50="X",OR(OR(TRIM($AA50)="puree pate d amande",TRIM($AA50)="pate puree d amande",TRIM($AA50)="puree d amande",TRIM($AA50)="pate d amande",TRIM($AA50)="pate puree de noisette",TRIM($AA50)="puree pate de noisette",TRIM($AA50)="puree de noisette",TRIM($AA50)="pate de noisette"),ISNUMBER(SEARCH(" macaron ",$AA50)),TRIM($AA50)="fruits a coque")),"X",IF(OR(BQ50="?",OR(ISNUMBER(SEARCH(" sirop d orgeat ",$AA50)),ISNUMBER(SEARCH(" orgeat ",$AA50)),ISNUMBER(SEARCH(" amaretto ",$AA50)))),"?",""))),"")</f>
        <v/>
      </c>
      <c r="M50" s="233" t="str">
        <f>IF(50=50,IF($B50="","",IF(OR(OR(TRIM($AA50)="puree pate d amande",TRIM($AA50)="pate puree d amande",TRIM($AA50)="puree d amande",TRIM($AA50)="pate d amande",TRIM($AA50)="pate puree de noisette",TRIM($AA50)="puree pate de noisette",TRIM($AA50)="puree de noisette",TRIM($AA50)="pate de noisette"),OR(TRIM($AA50)="tahini puree de sesame",TRIM($AA50)="tahini",TRIM($AA50)="puree de sesame")),"",IF(BT50="X","X",IF(OR(BT50="?",ISNUMBER(SEARCH(" bloody mary ",$AA50))),"?","")))),"")</f>
        <v/>
      </c>
      <c r="N50" s="233" t="str">
        <f>IF(50=50,IF($B50="","",IF(OR(OR(TRIM($AA50)="puree pate d amande",TRIM($AA50)="pate puree d amande",TRIM($AA50)="puree d amande",TRIM($AA50)="pate d amande",TRIM($AA50)="pate puree de noisette",TRIM($AA50)="puree pate de noisette",TRIM($AA50)="puree de noisette",TRIM($AA50)="pate de noisette"),OR(TRIM($AA50)="tahini puree de sesame",TRIM($AA50)="tahini",TRIM($AA50)="puree de sesame")),"",IF(BW50="X","X",IF(OR(BW50="?",ISNUMBER(SEARCH(" bloody mary ",$AA50))),"?","")))),"")</f>
        <v/>
      </c>
      <c r="O50" s="233" t="str">
        <f>IF(50=50,IF($B50="","",BZ50),"")</f>
        <v/>
      </c>
      <c r="P50" s="233" t="str">
        <f>IF(50=50,IF($B50="","",CC50),"")</f>
        <v/>
      </c>
      <c r="Q50" s="233" t="str">
        <f>IF(50=50,IF($B50="","",CF50),"")</f>
        <v/>
      </c>
      <c r="R50" s="233" t="str">
        <f>IF(50=50,IF($B50="","",IF(TRIM($AA50)="fruits a coque","",IF(CL50="X","X",IF(OR(CL50="?",OR(ISNUMBER(SEARCH(" clamato ",$AA50)),ISNUMBER(SEARCH(" bloody caesar ",$AA50)))),"?","")))),"")</f>
        <v/>
      </c>
      <c r="S50" s="234" t="str">
        <f>IF(50=50,IF($B50="","",IF(E50="?",""&amp;"Céréales contenant du gluten","")&amp;IF(F50="?",IF(COUNTIF($E50:$E50,"~?")&gt;0,", ","")&amp;"Crustacés","")&amp;IF(G50="?",IF(COUNTIF($E50:$F50,"~?")&gt;0,", ","")&amp;"Œufs","")&amp;IF(H50="?",IF(COUNTIF($E50:$G50,"~?")&gt;0,", ","")&amp;"Poissons","")&amp;IF(I50="?",IF(COUNTIF($E50:$H50,"~?")&gt;0,", ","")&amp;"Arachides","")&amp;IF(J50="?",IF(COUNTIF($E50:$I50,"~?")&gt;0,", ","")&amp;"Soja","")&amp;IF(K50="?",IF(COUNTIF($E50:$J50,"~?")&gt;0,", ","")&amp;"Lait","")&amp;IF(L50="?",IF(COUNTIF($E50:$K50,"~?")&gt;0,", ","")&amp;"Fruits à coque","")&amp;IF(M50="?",IF(COUNTIF($E50:$L50,"~?")&gt;0,", ","")&amp;"Céleri","")&amp;IF(N50="?",IF(COUNTIF($E50:$M50,"~?")&gt;0,", ","")&amp;"Moutarde","")&amp;IF(O50="?",IF(COUNTIF($E50:$N50,"~?")&gt;0,", ","")&amp;"Sésame","")&amp;IF(P50="?",IF(COUNTIF($E50:$O50,"~?")&gt;0,", ","")&amp;"Sulfites","")&amp;IF(Q50="?",IF(COUNTIF($E50:$P50,"~?")&gt;0,", ","")&amp;"Lupin","")&amp;IF(R50="?",IF(COUNTIF($E50:$Q50,"~?")&gt;0,", ","")&amp;"Mollusques","")),"")</f>
        <v>Œufs, Lait</v>
      </c>
      <c r="U50" s="209" t="str">
        <f>IF(50=50,IF($B50="","",$B50),"")</f>
        <v>Sorbet — recette non précisée</v>
      </c>
      <c r="V50" s="209" t="str">
        <f>IF(50=50,LOWER(CLEAN(SUBSTITUTE(SUBSTITUTE(SUBSTITUTE(SUBSTITUTE($U50,CHAR(160)," ")," "," "),CHAR(10)," "),CHAR(13)," "))),"")</f>
        <v>sorbet — recette non précisée</v>
      </c>
      <c r="W50" s="209" t="str">
        <f>IF(50=50,SUBSTITUTE(SUBSTITUTE(SUBSTITUTE(SUBSTITUTE(SUBSTITUTE(SUBSTITUTE(SUBSTITUTE(SUBSTITUTE(SUBSTITUTE(SUBSTITUTE(SUBSTITUTE(SUBSTITUTE($V50,"œ","oe"),"æ","ae"),"à","a"),"á","a"),"â","a"),"ä","a"),"ã","a"),"ç","c"),"è","e"),"é","e"),"ê","e"),"ë","e"),"")</f>
        <v>sorbet — recette non precisee</v>
      </c>
      <c r="X50" s="209" t="str">
        <f>IF(50=50,SUBSTITUTE(SUBSTITUTE(SUBSTITUTE(SUBSTITUTE(SUBSTITUTE(SUBSTITUTE(SUBSTITUTE(SUBSTITUTE(SUBSTITUTE(SUBSTITUTE(SUBSTITUTE(SUBSTITUTE(SUBSTITUTE(SUBSTITUTE(SUBSTITUTE(SUBSTITUTE($W50,"ì","i"),"í","i"),"î","i"),"ï","i"),"ñ","n"),"ò","o"),"ó","o"),"ô","o"),"ö","o"),"õ","o"),"ù","u"),"ú","u"),"û","u"),"ü","u"),"ý","y"),"ÿ","y"),"")</f>
        <v>sorbet — recette non precisee</v>
      </c>
      <c r="Y50" s="209" t="str">
        <f>IF(50=50,SUBSTITUTE(SUBSTITUTE(SUBSTITUTE(SUBSTITUTE(SUBSTITUTE(SUBSTITUTE(SUBSTITUTE(SUBSTITUTE(SUBSTITUTE(SUBSTITUTE(SUBSTITUTE(SUBSTITUTE(SUBSTITUTE(SUBSTITUTE($X50,"’"," "),"`"," "),"–"," "),"—"," "),"-"," "),"'"," "),"/"," "),"_"," "),","," "),"."," "),"("," "),")"," "),";"," "),":"," "),"")</f>
        <v>sorbet   recette non precisee</v>
      </c>
      <c r="Z50" s="209" t="str">
        <f>IF(50=50,SUBSTITUTE(SUBSTITUTE(SUBSTITUTE(SUBSTITUTE(SUBSTITUTE(SUBSTITUTE(SUBSTITUTE(SUBSTITUTE(SUBSTITUTE(SUBSTITUTE(SUBSTITUTE(SUBSTITUTE(SUBSTITUTE(SUBSTITUTE(SUBSTITUTE($Y50,"!"," "),"?"," "),"+"," "),"*"," "),"&amp;"," "),"["," "),"]"," "),"{"," "),"}"," "),"%"," "),"="," "),"\"," "),"|"," "),"&lt;"," "),"&gt;"," "),"")</f>
        <v>sorbet   recette non precisee</v>
      </c>
      <c r="AA50" s="209" t="str">
        <f>IF(50=50," "&amp;TRIM(SUBSTITUTE(SUBSTITUTE(SUBSTITUTE(SUBSTITUTE(SUBSTITUTE(SUBSTITUTE($Z50,CHAR(34)," "),"  "," "),"  "," "),"  "," "),"  "," "),"  "," "))&amp;" ","")</f>
        <v xml:space="preserve"> sorbet recette non precisee </v>
      </c>
      <c r="AB50" s="209">
        <f>IF(50=50,IF($U50="","",SUMPRODUCT(--ISNUMBER(SEARCH(" "&amp;$CR$2:$CR$101&amp;" ",$AD50)))),"")</f>
        <v>0</v>
      </c>
      <c r="AC50" s="209">
        <f>IF(50=50,IF($U50="","",SUMPRODUCT(--ISNUMBER(SEARCH(" "&amp;$CR$102:$CR$151&amp;" ",$AD50)))),"")</f>
        <v>0</v>
      </c>
      <c r="AD50" s="209" t="str">
        <f t="shared" si="1"/>
        <v xml:space="preserve"> sorbet recette non precisee </v>
      </c>
      <c r="AE50" s="209">
        <f t="shared" si="2"/>
        <v>0</v>
      </c>
      <c r="AF50" s="209" t="str">
        <f>IF(50=50,IF($U50="","",IF(SUM(AB50:AC50)+SUMPRODUCT(--ISNUMBER(SEARCH(" "&amp;$CR$2418:$CR$2420&amp;" ",$AD50)))&gt;0,"X",IF(AE50&gt;0,"?",""))),"")</f>
        <v/>
      </c>
      <c r="AG50" s="209">
        <f>IF(50=50,IF($U50="","",SUMPRODUCT(--ISNUMBER(SEARCH(" "&amp;$CR$206:$CR$305&amp;" ",$AA50)))),"")</f>
        <v>0</v>
      </c>
      <c r="AH50" s="209">
        <f>IF(50=50,IF($U50="","",SUMPRODUCT(--ISNUMBER(SEARCH(" "&amp;$CR$306:$CR$340&amp;" ",$AA50)))),"")</f>
        <v>0</v>
      </c>
      <c r="AI50" s="209" t="str">
        <f>IF(50=50,IF($U50="","",IF((SUM(AG50:AH50))-(0)&gt;0,"X",IF((0)-(0)&gt;0,"?",""))),"")</f>
        <v/>
      </c>
      <c r="AJ50" s="209">
        <f>IF(50=50,IF($U50="","",SUMPRODUCT(--ISNUMBER(SEARCH(" "&amp;$CR$341:$CR$398&amp;" ",$AA50)))),"")</f>
        <v>0</v>
      </c>
      <c r="AK50" s="209">
        <f>IF(50=50,IF($U50="","",SUMPRODUCT(--ISNUMBER(SEARCH(" "&amp;$CR$399:$CR$426&amp;" ",$AL50)))+SUMPRODUCT(--ISNUMBER(SEARCH(" "&amp;$CR$2440:$CR$2453&amp;" ",$AL50)))),"")</f>
        <v>1</v>
      </c>
      <c r="AL50" s="209" t="str">
        <f>IF(50=50,IF($U50="","",SUBSTITUTE(SUBSTITUTE(SUBSTITUTE(SUBSTITUTE(SUBSTITUTE(SUBSTITUTE(SUBSTITUTE(SUBSTITUTE(SUBSTITUTE(SUBSTITUTE(SUBSTITUTE(SUBSTITUTE(SUBSTITUTE(SUBSTITUTE($AA50,"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sorbet recette non precisee </v>
      </c>
      <c r="AM50" s="209" t="str">
        <f>IF(50=50,IF($U50="","",IF(AJ50&gt;0,"X",IF(AK50&gt;0,"?",""))),"")</f>
        <v>?</v>
      </c>
      <c r="AN50" s="209">
        <f>IF(50=50,IF($U50="","",SUMPRODUCT(--ISNUMBER(SEARCH(" "&amp;$CR$436:$CR$535&amp;" ",$AX50)))),"")</f>
        <v>0</v>
      </c>
      <c r="AO50" s="209">
        <f>IF(50=50,IF($U50="","",SUMPRODUCT(--ISNUMBER(SEARCH(" "&amp;$CR$536:$CR$635&amp;" ",$AX50)))),"")</f>
        <v>0</v>
      </c>
      <c r="AP50" s="209">
        <f>IF(50=50,IF($U50="","",SUMPRODUCT(--ISNUMBER(SEARCH(" "&amp;$CR$636:$CR$735&amp;" ",$AX50)))),"")</f>
        <v>0</v>
      </c>
      <c r="AQ50" s="209">
        <f>IF(50=50,IF($U50="","",SUMPRODUCT(--ISNUMBER(SEARCH(" "&amp;$CR$736:$CR$835&amp;" ",$AX50)))),"")</f>
        <v>0</v>
      </c>
      <c r="AR50" s="209">
        <f>IF(50=50,IF($U50="","",SUMPRODUCT(--ISNUMBER(SEARCH(" "&amp;$CR$836:$CR$935&amp;" ",$AX50)))),"")</f>
        <v>0</v>
      </c>
      <c r="AS50" s="209">
        <f>IF(50=50,IF($U50="","",SUMPRODUCT(--ISNUMBER(SEARCH(" "&amp;$CR$936:$CR$1035&amp;" ",$AX50)))),"")</f>
        <v>0</v>
      </c>
      <c r="AT50" s="209">
        <f>IF(50=50,IF($U50="","",SUMPRODUCT(--ISNUMBER(SEARCH(" "&amp;$CR$1036:$CR$1135&amp;" ",$AX50)))),"")</f>
        <v>0</v>
      </c>
      <c r="AU50" s="209">
        <f>IF(50=50,IF($U50="","",SUMPRODUCT(--ISNUMBER(SEARCH(" "&amp;$CR$1136:$CR$1235&amp;" ",$AX50)))),"")</f>
        <v>0</v>
      </c>
      <c r="AV50" s="209">
        <f>IF(50=50,IF($U50="","",SUMPRODUCT(--ISNUMBER(SEARCH(" "&amp;$CR$1236:$CR$1335&amp;" ",$AX50)))),"")</f>
        <v>0</v>
      </c>
      <c r="AW50" s="209">
        <f>IF(50=50,IF($U50="","",SUMPRODUCT(--ISNUMBER(SEARCH(" "&amp;$CR$1336:$CR$1363&amp;" ",$AX50)))),"")</f>
        <v>0</v>
      </c>
      <c r="AX50" s="209" t="str">
        <f>IF(50=50,IF($U50="","",SUBSTITUTE(SUBSTITUTE(SUBSTITUTE(SUBSTITUTE(SUBSTITUTE(SUBSTITUTE(SUBSTITUTE(SUBSTITUTE(SUBSTITUTE($AA50,"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sorbet recette non precisee </v>
      </c>
      <c r="AY50" s="209">
        <f>IF(50=50,IF($U50="","",SUMPRODUCT(--ISNUMBER(SEARCH(" "&amp;$CR$1373:$CR$1383&amp;" ",$AX50)))),"")</f>
        <v>0</v>
      </c>
      <c r="AZ50" s="209" t="str">
        <f>IF(50=50,IF($U50="","",IF(SUM(AN50:AW50)+SUMPRODUCT(--ISNUMBER(SEARCH(" "&amp;$CR$2421:$CR$2422&amp;" ",$AX50)))&gt;0,"X",IF(AY50&gt;0,"?",""))),"")</f>
        <v/>
      </c>
      <c r="BA50" s="209">
        <f>IF(50=50,IF($U50="","",SUMPRODUCT(--ISNUMBER(SEARCH(" "&amp;$CR$1384:$CR$1404&amp;" ",$AA50)))),"")</f>
        <v>0</v>
      </c>
      <c r="BB50" s="209" t="str">
        <f>IF(50=50,IF($U50="","",IF((BA50)-(0)&gt;0,"X",IF((0)-(0)&gt;0,"?",""))),"")</f>
        <v/>
      </c>
      <c r="BC50" s="209">
        <f>IF(50=50,IF($U50="","",SUMPRODUCT(--ISNUMBER(SEARCH(" "&amp;$CR$1405:$CR$1442&amp;" ",$BD50)))),"")</f>
        <v>0</v>
      </c>
      <c r="BD50" s="209" t="str">
        <f>IF(50=50,IF($U50="","",SUBSTITUTE(SUBSTITUTE($AA50," "&amp;$CR$1443&amp;" "," ")," "&amp;$CR$1444&amp;" "," ")),"")</f>
        <v xml:space="preserve"> sorbet recette non precisee </v>
      </c>
      <c r="BE50" s="209">
        <f>IF(50=50,IF($U50="","",SUMPRODUCT(--ISNUMBER(SEARCH(" "&amp;$CR$1445:$CR$1455&amp;" ",$BD50)))),"")</f>
        <v>0</v>
      </c>
      <c r="BF50" s="209" t="str">
        <f>IF(50=50,IF($U50="","",IF(BC50&gt;0,"X",IF(BE50&gt;0,"?",""))),"")</f>
        <v/>
      </c>
      <c r="BG50" s="209">
        <f>IF(50=50,IF($U50="","",SUMPRODUCT(--ISNUMBER(SEARCH(" "&amp;$CR$1456:$CR$1555&amp;" ",$BJ50)))),"")</f>
        <v>0</v>
      </c>
      <c r="BH50" s="209">
        <f>IF(50=50,IF($U50="","",SUMPRODUCT(--ISNUMBER(SEARCH(" "&amp;$CR$1556:$CR$1655&amp;" ",$BJ50)))),"")</f>
        <v>0</v>
      </c>
      <c r="BI50" s="209">
        <f>IF(50=50,IF($U50="","",SUMPRODUCT(--ISNUMBER(SEARCH(" "&amp;$CR$1656:$CR$1739&amp;" ",$BJ50)))),"")</f>
        <v>0</v>
      </c>
      <c r="BJ50" s="209" t="str">
        <f>IF(50=50,IF($U50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50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sorbet recette non precisee </v>
      </c>
      <c r="BK50" s="209">
        <f>IF(50=50,IF($U50="","",SUMPRODUCT(--ISNUMBER(SEARCH(" "&amp;$CR$1790:$CR$1869&amp;" ",$BL50)))+SUMPRODUCT(--ISNUMBER(SEARCH(" "&amp;$CR$2440:$CR$2453&amp;" ",$BL50)))),"")</f>
        <v>1</v>
      </c>
      <c r="BL50" s="209" t="str">
        <f>IF(50=50,IF($U50="","",SUBSTITUTE(SUBSTITUTE(SUBSTITUTE(SUBSTITUTE(SUBSTITUTE(SUBSTITUTE(SUBSTITUTE(SUBSTITUTE(SUBSTITUTE(SUBSTITUTE(SUBSTITUTE(SUBSTITUTE(SUBSTITUTE($BJ50,"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sorbet recette non precisee </v>
      </c>
      <c r="BM50" s="209" t="str">
        <f>IF(50=50,IF($U50="","",IF(SUM(BG50:BI50)+SUMPRODUCT(--ISNUMBER(SEARCH(" "&amp;$CR$2423:$CR$2424&amp;" ",$BJ50)))&gt;0,"X",IF(BK50&gt;0,"?",""))),"")</f>
        <v>?</v>
      </c>
      <c r="BN50" s="209">
        <f>IF(50=50,IF($U50="","",SUMPRODUCT(--ISNUMBER(SEARCH(" "&amp;$CR$1879:$CR$1936&amp;" ",$BO50)))),"")</f>
        <v>0</v>
      </c>
      <c r="BO50" s="209" t="str">
        <f>IF(50=50,IF($U50="","",SUBSTITUTE(SUBSTITUTE(SUBSTITUTE(SUBSTITUTE(SUBSTITUTE(SUBSTITUTE(SUBSTITUTE(SUBSTITUTE(SUBSTITUTE(SUBSTITUTE(SUBSTITUTE(SUBSTITUTE(SUBSTITUTE(SUBSTITUTE(SUBSTITUTE(SUBSTITUTE(SUBSTITUTE(SUBSTITUTE(SUBSTITUTE(SUBSTITUTE(SUBSTITUTE(SUBSTITUTE(SUBSTITUTE($AA50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sorbet recette non precisee </v>
      </c>
      <c r="BP50" s="209">
        <f>IF(50=50,IF($U50="","",SUMPRODUCT(--ISNUMBER(SEARCH(" "&amp;$CR$1960:$CR$1976&amp;" ",$BO50)))),"")</f>
        <v>0</v>
      </c>
      <c r="BQ50" s="209" t="str">
        <f>IF(50=50,IF($U50="","",IF(BN50&gt;0,"X",IF(BP50&gt;0,"?",""))),"")</f>
        <v/>
      </c>
      <c r="BR50" s="209">
        <f>IF(50=50,IF($U50="","",SUMPRODUCT(--ISNUMBER(SEARCH(" "&amp;$CR$1977:$CR$1990&amp;" ",$AA50)))),"")</f>
        <v>0</v>
      </c>
      <c r="BS50" s="209">
        <f>IF(50=50,IF($U50="","",SUMPRODUCT(--ISNUMBER(SEARCH(" "&amp;$CR$1991:$CR$2005&amp;" ",$AA50)))),"")</f>
        <v>0</v>
      </c>
      <c r="BT50" s="209" t="str">
        <f>IF(50=50,IF($U50="","",IF((BR50)-(0)&gt;0,"X",IF((BS50)-(0)&gt;0,"?",""))),"")</f>
        <v/>
      </c>
      <c r="BU50" s="209">
        <f>IF(50=50,IF($U50="","",SUMPRODUCT(--ISNUMBER(SEARCH(" "&amp;$CR$2006:$CR$2023&amp;" ",$AA50)))),"")</f>
        <v>0</v>
      </c>
      <c r="BV50" s="209">
        <f>IF(50=50,IF($U50="","",SUMPRODUCT(--ISNUMBER(SEARCH(" "&amp;$CR$2024:$CR$2038&amp;" ",$AA50)))),"")</f>
        <v>0</v>
      </c>
      <c r="BW50" s="209" t="str">
        <f>IF(50=50,IF($U50="","",IF((BU50)-(0)&gt;0,"X",IF((BV50)-(0)&gt;0,"?",""))),"")</f>
        <v/>
      </c>
      <c r="BX50" s="209">
        <f>IF(50=50,IF($U50="","",SUMPRODUCT(--ISNUMBER(SEARCH(" "&amp;$CR$2039:$CR$2057&amp;" ",$AA50)))),"")</f>
        <v>0</v>
      </c>
      <c r="BY50" s="209">
        <f>IF(50=50,IF($U50="","",SUMPRODUCT(--ISNUMBER(SEARCH(" "&amp;$CR$2058:$CR$2072&amp;" ",$AA50)))),"")</f>
        <v>0</v>
      </c>
      <c r="BZ50" s="209" t="str">
        <f>IF(50=50,IF($U50="","",IF((BX50)-(0)&gt;0,"X",IF((BY50)-(0)&gt;0,"?",""))),"")</f>
        <v/>
      </c>
      <c r="CA50" s="209">
        <f>IF(50=50,IF($U50="","",SUMPRODUCT(--ISNUMBER(SEARCH(" "&amp;$CR$2073:$CR$2093&amp;" ",$AA50)))),"")</f>
        <v>0</v>
      </c>
      <c r="CB50" s="209">
        <f>IF(50=50,IF($U50="","",SUMPRODUCT(--ISNUMBER(SEARCH(" "&amp;$CR$2094:$CR$2133&amp;" ",SUBSTITUTE(SUBSTITUTE($AA50," "&amp;$CR$1367&amp;" "," ")," "&amp;$CR$1366&amp;" "," "))))+--ISNUMBER(SEARCH("poiré",$V50))),"")</f>
        <v>0</v>
      </c>
      <c r="CC50" s="209" t="str">
        <f>IF(50=50,IF($U50="","",IF(OR(CA50&gt;0,ISNUMBER(SEARCH(" vinaigre de vin ",$AA50)),ISNUMBER(SEARCH(" vinaigre au vin ",$AA50))),"X",IF(CB50&gt;0,"?",""))),"")</f>
        <v/>
      </c>
      <c r="CD50" s="209">
        <f>IF(50=50,IF($U50="","",SUMPRODUCT(--ISNUMBER(SEARCH(" "&amp;$CR$2134:$CR$2146&amp;" ",$AA50)))),"")</f>
        <v>0</v>
      </c>
      <c r="CE50" s="209">
        <f>IF(50=50,IF($U50="","",SUMPRODUCT(--ISNUMBER(SEARCH(" "&amp;$CR$2147:$CR$2152&amp;" ",$AA50)))),"")</f>
        <v>0</v>
      </c>
      <c r="CF50" s="209" t="str">
        <f>IF(50=50,IF($U50="","",IF((CD50)-(0)&gt;0,"X",IF((CE50)-(0)&gt;0,"?",""))),"")</f>
        <v/>
      </c>
      <c r="CG50" s="209">
        <f>IF(50=50,IF($U50="","",SUMPRODUCT(--ISNUMBER(SEARCH(" "&amp;$CR$2153:$CR$2252&amp;" ",$CJ50)))),"")</f>
        <v>0</v>
      </c>
      <c r="CH50" s="209">
        <f>IF(50=50,IF($U50="","",SUMPRODUCT(--ISNUMBER(SEARCH(" "&amp;$CR$2253:$CR$2352&amp;" ",$CJ50)))),"")</f>
        <v>0</v>
      </c>
      <c r="CI50" s="209">
        <f>IF(50=50,IF($U50="","",SUMPRODUCT(--ISNUMBER(SEARCH(" "&amp;$CR$2353:$CR$2395&amp;" ",$CJ50)))),"")</f>
        <v>0</v>
      </c>
      <c r="CJ50" s="209" t="str">
        <f>IF(50=50,IF($U50="","",SUBSTITUTE(SUBSTITUTE(SUBSTITUTE(SUBSTITUTE(SUBSTITUTE(SUBSTITUTE(SUBSTITUTE(SUBSTITUTE(SUBSTITUTE(SUBSTITUTE(SUBSTITUTE(SUBSTITUTE(SUBSTITUTE(SUBSTITUTE(SUBSTITUTE(SUBSTITUTE($AA50,"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sorbet recette non precisee </v>
      </c>
      <c r="CK50" s="209">
        <f>IF(50=50,IF($U50="","",SUMPRODUCT(--ISNUMBER(SEARCH(" "&amp;$CR$2412:$CR$2416&amp;" ",$CJ50)))),"")</f>
        <v>0</v>
      </c>
      <c r="CL50" s="209" t="str">
        <f>IF(50=50,IF($U50="","",IF(SUM(CG50:CI50)&gt;0,"X",IF(CK50&gt;0,"?",""))),"")</f>
        <v/>
      </c>
      <c r="CM50" s="210"/>
      <c r="CN50" s="213" t="s">
        <v>1079</v>
      </c>
      <c r="CO50" s="213" t="s">
        <v>878</v>
      </c>
      <c r="CP50" s="213" t="s">
        <v>879</v>
      </c>
      <c r="CQ50" s="213" t="s">
        <v>1080</v>
      </c>
      <c r="CR50" s="213" t="s">
        <v>1080</v>
      </c>
      <c r="CS50" s="213" t="s">
        <v>881</v>
      </c>
      <c r="CT50" s="213" t="s">
        <v>882</v>
      </c>
      <c r="CU50" s="213" t="s">
        <v>883</v>
      </c>
      <c r="CV50" s="214" t="s">
        <v>884</v>
      </c>
      <c r="CX50" s="212">
        <v>1</v>
      </c>
    </row>
    <row r="51" spans="1:102" ht="21" customHeight="1">
      <c r="A51" s="229">
        <v>45</v>
      </c>
      <c r="B51" s="230" t="s">
        <v>6639</v>
      </c>
      <c r="C51" s="231" t="str">
        <f t="shared" si="0"/>
        <v>Sauce / nappage chocolat ?</v>
      </c>
      <c r="D51" s="232" t="str">
        <f>IF(51=51,IF($B51="","",IF(E51="X",""&amp;"Céréales contenant du gluten","")&amp;IF(F51="X",IF(COUNTIF($E51:$E51,"X")&gt;0,", ","")&amp;"Crustacés","")&amp;IF(G51="X",IF(COUNTIF($E51:$F51,"X")&gt;0,", ","")&amp;"Œufs","")&amp;IF(H51="X",IF(COUNTIF($E51:$G51,"X")&gt;0,", ","")&amp;"Poissons","")&amp;IF(I51="X",IF(COUNTIF($E51:$H51,"X")&gt;0,", ","")&amp;"Arachides","")&amp;IF(J51="X",IF(COUNTIF($E51:$I51,"X")&gt;0,", ","")&amp;"Soja","")&amp;IF(K51="X",IF(COUNTIF($E51:$J51,"X")&gt;0,", ","")&amp;"Lait","")&amp;IF(L51="X",IF(COUNTIF($E51:$K51,"X")&gt;0,", ","")&amp;"Fruits à coque","")&amp;IF(M51="X",IF(COUNTIF($E51:$L51,"X")&gt;0,", ","")&amp;"Céleri","")&amp;IF(N51="X",IF(COUNTIF($E51:$M51,"X")&gt;0,", ","")&amp;"Moutarde","")&amp;IF(O51="X",IF(COUNTIF($E51:$N51,"X")&gt;0,", ","")&amp;"Sésame","")&amp;IF(P51="X",IF(COUNTIF($E51:$O51,"X")&gt;0,", ","")&amp;"Sulfites","")&amp;IF(Q51="X",IF(COUNTIF($E51:$P51,"X")&gt;0,", ","")&amp;"Lupin","")&amp;IF(R51="X",IF(COUNTIF($E51:$Q51,"X")&gt;0,", ","")&amp;"Mollusques","")),"")</f>
        <v/>
      </c>
      <c r="E51" s="233" t="str">
        <f>IF(51=51,IF($B51="","",IF(OR(ISNUMBER(SEARCH(" biere sans gluten ",$AA51)),ISNUMBER(SEARCH(" gluten free beer ",$AA51)),ISNUMBER(SEARCH(" beer gluten free ",$AA51))),"",IF(AF51="X","X",IF(OR(AF51="?",OR(ISNUMBER(SEARCH(" worcestershire ",$AA51)),ISNUMBER(SEARCH(" bloody mary ",$AA51)))),"?","")))),"")</f>
        <v/>
      </c>
      <c r="F51" s="233" t="str">
        <f>IF(51=51,IF($B51="","",AI51),"")</f>
        <v/>
      </c>
      <c r="G51" s="233" t="str">
        <f>IF(51=51,IF($B51="","",IF(OR(TRIM($AA51)="puree pate d amande",TRIM($AA51)="pate puree d amande",TRIM($AA51)="puree d amande",TRIM($AA51)="pate d amande",TRIM($AA51)="pate puree de noisette",TRIM($AA51)="puree pate de noisette",TRIM($AA51)="puree de noisette",TRIM($AA51)="pate de noisette"),"",IF(OR(AM51="X",OR(ISNUMBER(SEARCH(" macaron ",$AA51)),ISNUMBER(SEARCH(" egg nog ",$AA51)),ISNUMBER(SEARCH(" eggnog ",$AA51)))),"X",IF(OR(AM51="?",OR(ISNUMBER(SEARCH(" biscuit decoratif ",$AA51)),ISNUMBER(SEARCH(" whisky sour ",$AA51)),ISNUMBER(SEARCH(" whiskey sour ",$AA51)),ISNUMBER(SEARCH(" amaretto sour ",$AA51)),ISNUMBER(SEARCH(" pisco sour ",$AA51)),ISNUMBER(SEARCH(" clover club ",$AA51)),ISNUMBER(SEARCH(" ramos gin fizz ",$AA51)))),"?","")))),"")</f>
        <v/>
      </c>
      <c r="H51" s="233" t="str">
        <f>IF(51=51,IF($B51="","",IF(ISNUMBER(SEARCH(" colin ",$AA51)),"X",IF(AZ51="X","X",IF(OR(AZ51="?",OR(ISNUMBER(SEARCH(" worcestershire ",$AA51)),ISNUMBER(SEARCH(" bloody mary ",$AA51)))),"?","")))),"")</f>
        <v/>
      </c>
      <c r="I51" s="233" t="str">
        <f>IF(51=51,IF($B51="","",BB51),"")</f>
        <v/>
      </c>
      <c r="J51" s="233" t="str">
        <f>IF(51=51,IF($B51="","",BF51),"")</f>
        <v>?</v>
      </c>
      <c r="K51" s="233" t="str">
        <f>IF(51=51,IF($B51="","",IF(OR(OR(TRIM($AA51)="puree pate d amande",TRIM($AA51)="pate puree d amande",TRIM($AA51)="puree d amande",TRIM($AA51)="pate d amande",TRIM($AA51)="pate puree de noisette",TRIM($AA51)="puree pate de noisette",TRIM($AA51)="puree de noisette",TRIM($AA51)="pate de noisette"),OR(TRIM($AA51)="beurre puree d arachide",TRIM($AA51)="beurre d arachide",TRIM($AA51)="puree d arachide"),OR(TRIM($AA51)="tahini puree de sesame",TRIM($AA51)="tahini",TRIM($AA51)="puree de sesame")),"",IF(OR(TRIM($AA51)="creme de cassis",TRIM($AA51)="creme de menthe",TRIM($AA51)="creme de cacao",TRIM($AA51)="creme de mure",TRIM($AA51)="creme de framboise",TRIM($AA51)="creme de peche",TRIM($AA51)="creme de banane",TRIM($AA51)="liqueur creme de coco",TRIM($AA51)="creme de coco",TRIM($AA51)="spiritueux aromatise arrange creme de spiritueux"),"?",IF(OR(BM51="X",OR(ISNUMBER(SEARCH(" baileys ",$AA51)),ISNUMBER(SEARCH(" irish cream ",$AA51)),ISNUMBER(SEARCH(" creme de whisky ",$AA51)))),"X",IF(OR(BM51="?",OR(OR(TRIM($AA51)="creme de cassis",TRIM($AA51)="creme de menthe",TRIM($AA51)="creme de cacao",TRIM($AA51)="creme de mure",TRIM($AA51)="creme de framboise",TRIM($AA51)="creme de peche",TRIM($AA51)="creme de banane",TRIM($AA51)="liqueur creme de coco",TRIM($AA51)="creme de coco",TRIM($AA51)="spiritueux aromatise arrange creme de spiritueux"),ISNUMBER(SEARCH(" advocaat ",$AA51)),ISNUMBER(SEARCH(" liqueur aux oeufs ",$AA51)),ISNUMBER(SEARCH(" liqueur de chocolat ",$AA51)),ISNUMBER(SEARCH(" liqueur de caramel ",$AA51)),ISNUMBER(SEARCH(" sauce nappage chocolat ",$AA51)),ISNUMBER(SEARCH(" biscuit decoratif ",$AA51)),ISNUMBER(SEARCH(" white russian ",$AA51)),ISNUMBER(SEARCH(" grasshopper ",$AA51)),ISNUMBER(SEARCH(" irish coffee ",$AA51)),ISNUMBER(SEARCH(" ramos gin fizz ",$AA51)),ISNUMBER(SEARCH(" egg nog ",$AA51)),ISNUMBER(SEARCH(" eggnog ",$AA51)))),"?",""))))),"")</f>
        <v>?</v>
      </c>
      <c r="L51" s="233" t="str">
        <f>IF(51=51,IF($B51="","",IF(OR(BQ51="X",OR(OR(TRIM($AA51)="puree pate d amande",TRIM($AA51)="pate puree d amande",TRIM($AA51)="puree d amande",TRIM($AA51)="pate d amande",TRIM($AA51)="pate puree de noisette",TRIM($AA51)="puree pate de noisette",TRIM($AA51)="puree de noisette",TRIM($AA51)="pate de noisette"),ISNUMBER(SEARCH(" macaron ",$AA51)),TRIM($AA51)="fruits a coque")),"X",IF(OR(BQ51="?",OR(ISNUMBER(SEARCH(" sirop d orgeat ",$AA51)),ISNUMBER(SEARCH(" orgeat ",$AA51)),ISNUMBER(SEARCH(" amaretto ",$AA51)))),"?",""))),"")</f>
        <v/>
      </c>
      <c r="M51" s="233" t="str">
        <f>IF(51=51,IF($B51="","",IF(OR(OR(TRIM($AA51)="puree pate d amande",TRIM($AA51)="pate puree d amande",TRIM($AA51)="puree d amande",TRIM($AA51)="pate d amande",TRIM($AA51)="pate puree de noisette",TRIM($AA51)="puree pate de noisette",TRIM($AA51)="puree de noisette",TRIM($AA51)="pate de noisette"),OR(TRIM($AA51)="tahini puree de sesame",TRIM($AA51)="tahini",TRIM($AA51)="puree de sesame")),"",IF(BT51="X","X",IF(OR(BT51="?",ISNUMBER(SEARCH(" bloody mary ",$AA51))),"?","")))),"")</f>
        <v/>
      </c>
      <c r="N51" s="233" t="str">
        <f>IF(51=51,IF($B51="","",IF(OR(OR(TRIM($AA51)="puree pate d amande",TRIM($AA51)="pate puree d amande",TRIM($AA51)="puree d amande",TRIM($AA51)="pate d amande",TRIM($AA51)="pate puree de noisette",TRIM($AA51)="puree pate de noisette",TRIM($AA51)="puree de noisette",TRIM($AA51)="pate de noisette"),OR(TRIM($AA51)="tahini puree de sesame",TRIM($AA51)="tahini",TRIM($AA51)="puree de sesame")),"",IF(BW51="X","X",IF(OR(BW51="?",ISNUMBER(SEARCH(" bloody mary ",$AA51))),"?","")))),"")</f>
        <v/>
      </c>
      <c r="O51" s="233" t="str">
        <f>IF(51=51,IF($B51="","",BZ51),"")</f>
        <v/>
      </c>
      <c r="P51" s="233" t="str">
        <f>IF(51=51,IF($B51="","",CC51),"")</f>
        <v/>
      </c>
      <c r="Q51" s="233" t="str">
        <f>IF(51=51,IF($B51="","",CF51),"")</f>
        <v/>
      </c>
      <c r="R51" s="233" t="str">
        <f>IF(51=51,IF($B51="","",IF(TRIM($AA51)="fruits a coque","",IF(CL51="X","X",IF(OR(CL51="?",OR(ISNUMBER(SEARCH(" clamato ",$AA51)),ISNUMBER(SEARCH(" bloody caesar ",$AA51)))),"?","")))),"")</f>
        <v/>
      </c>
      <c r="S51" s="234" t="str">
        <f>IF(51=51,IF($B51="","",IF(E51="?",""&amp;"Céréales contenant du gluten","")&amp;IF(F51="?",IF(COUNTIF($E51:$E51,"~?")&gt;0,", ","")&amp;"Crustacés","")&amp;IF(G51="?",IF(COUNTIF($E51:$F51,"~?")&gt;0,", ","")&amp;"Œufs","")&amp;IF(H51="?",IF(COUNTIF($E51:$G51,"~?")&gt;0,", ","")&amp;"Poissons","")&amp;IF(I51="?",IF(COUNTIF($E51:$H51,"~?")&gt;0,", ","")&amp;"Arachides","")&amp;IF(J51="?",IF(COUNTIF($E51:$I51,"~?")&gt;0,", ","")&amp;"Soja","")&amp;IF(K51="?",IF(COUNTIF($E51:$J51,"~?")&gt;0,", ","")&amp;"Lait","")&amp;IF(L51="?",IF(COUNTIF($E51:$K51,"~?")&gt;0,", ","")&amp;"Fruits à coque","")&amp;IF(M51="?",IF(COUNTIF($E51:$L51,"~?")&gt;0,", ","")&amp;"Céleri","")&amp;IF(N51="?",IF(COUNTIF($E51:$M51,"~?")&gt;0,", ","")&amp;"Moutarde","")&amp;IF(O51="?",IF(COUNTIF($E51:$N51,"~?")&gt;0,", ","")&amp;"Sésame","")&amp;IF(P51="?",IF(COUNTIF($E51:$O51,"~?")&gt;0,", ","")&amp;"Sulfites","")&amp;IF(Q51="?",IF(COUNTIF($E51:$P51,"~?")&gt;0,", ","")&amp;"Lupin","")&amp;IF(R51="?",IF(COUNTIF($E51:$Q51,"~?")&gt;0,", ","")&amp;"Mollusques","")),"")</f>
        <v>Soja, Lait</v>
      </c>
      <c r="U51" s="209" t="str">
        <f>IF(51=51,IF($B51="","",$B51),"")</f>
        <v>Sauce / nappage chocolat</v>
      </c>
      <c r="V51" s="209" t="str">
        <f>IF(51=51,LOWER(CLEAN(SUBSTITUTE(SUBSTITUTE(SUBSTITUTE(SUBSTITUTE($U51,CHAR(160)," ")," "," "),CHAR(10)," "),CHAR(13)," "))),"")</f>
        <v>sauce / nappage chocolat</v>
      </c>
      <c r="W51" s="209" t="str">
        <f>IF(51=51,SUBSTITUTE(SUBSTITUTE(SUBSTITUTE(SUBSTITUTE(SUBSTITUTE(SUBSTITUTE(SUBSTITUTE(SUBSTITUTE(SUBSTITUTE(SUBSTITUTE(SUBSTITUTE(SUBSTITUTE($V51,"œ","oe"),"æ","ae"),"à","a"),"á","a"),"â","a"),"ä","a"),"ã","a"),"ç","c"),"è","e"),"é","e"),"ê","e"),"ë","e"),"")</f>
        <v>sauce / nappage chocolat</v>
      </c>
      <c r="X51" s="209" t="str">
        <f>IF(51=51,SUBSTITUTE(SUBSTITUTE(SUBSTITUTE(SUBSTITUTE(SUBSTITUTE(SUBSTITUTE(SUBSTITUTE(SUBSTITUTE(SUBSTITUTE(SUBSTITUTE(SUBSTITUTE(SUBSTITUTE(SUBSTITUTE(SUBSTITUTE(SUBSTITUTE(SUBSTITUTE($W51,"ì","i"),"í","i"),"î","i"),"ï","i"),"ñ","n"),"ò","o"),"ó","o"),"ô","o"),"ö","o"),"õ","o"),"ù","u"),"ú","u"),"û","u"),"ü","u"),"ý","y"),"ÿ","y"),"")</f>
        <v>sauce / nappage chocolat</v>
      </c>
      <c r="Y51" s="209" t="str">
        <f>IF(51=51,SUBSTITUTE(SUBSTITUTE(SUBSTITUTE(SUBSTITUTE(SUBSTITUTE(SUBSTITUTE(SUBSTITUTE(SUBSTITUTE(SUBSTITUTE(SUBSTITUTE(SUBSTITUTE(SUBSTITUTE(SUBSTITUTE(SUBSTITUTE($X51,"’"," "),"`"," "),"–"," "),"—"," "),"-"," "),"'"," "),"/"," "),"_"," "),","," "),"."," "),"("," "),")"," "),";"," "),":"," "),"")</f>
        <v>sauce   nappage chocolat</v>
      </c>
      <c r="Z51" s="209" t="str">
        <f>IF(51=51,SUBSTITUTE(SUBSTITUTE(SUBSTITUTE(SUBSTITUTE(SUBSTITUTE(SUBSTITUTE(SUBSTITUTE(SUBSTITUTE(SUBSTITUTE(SUBSTITUTE(SUBSTITUTE(SUBSTITUTE(SUBSTITUTE(SUBSTITUTE(SUBSTITUTE($Y51,"!"," "),"?"," "),"+"," "),"*"," "),"&amp;"," "),"["," "),"]"," "),"{"," "),"}"," "),"%"," "),"="," "),"\"," "),"|"," "),"&lt;"," "),"&gt;"," "),"")</f>
        <v>sauce   nappage chocolat</v>
      </c>
      <c r="AA51" s="209" t="str">
        <f>IF(51=51," "&amp;TRIM(SUBSTITUTE(SUBSTITUTE(SUBSTITUTE(SUBSTITUTE(SUBSTITUTE(SUBSTITUTE($Z51,CHAR(34)," "),"  "," "),"  "," "),"  "," "),"  "," "),"  "," "))&amp;" ","")</f>
        <v xml:space="preserve"> sauce nappage chocolat </v>
      </c>
      <c r="AB51" s="209">
        <f>IF(51=51,IF($U51="","",SUMPRODUCT(--ISNUMBER(SEARCH(" "&amp;$CR$2:$CR$101&amp;" ",$AD51)))),"")</f>
        <v>0</v>
      </c>
      <c r="AC51" s="209">
        <f>IF(51=51,IF($U51="","",SUMPRODUCT(--ISNUMBER(SEARCH(" "&amp;$CR$102:$CR$151&amp;" ",$AD51)))),"")</f>
        <v>0</v>
      </c>
      <c r="AD51" s="209" t="str">
        <f t="shared" si="1"/>
        <v xml:space="preserve"> sauce nappage chocolat </v>
      </c>
      <c r="AE51" s="209">
        <f t="shared" si="2"/>
        <v>0</v>
      </c>
      <c r="AF51" s="209" t="str">
        <f>IF(51=51,IF($U51="","",IF(SUM(AB51:AC51)+SUMPRODUCT(--ISNUMBER(SEARCH(" "&amp;$CR$2418:$CR$2420&amp;" ",$AD51)))&gt;0,"X",IF(AE51&gt;0,"?",""))),"")</f>
        <v/>
      </c>
      <c r="AG51" s="209">
        <f>IF(51=51,IF($U51="","",SUMPRODUCT(--ISNUMBER(SEARCH(" "&amp;$CR$206:$CR$305&amp;" ",$AA51)))),"")</f>
        <v>0</v>
      </c>
      <c r="AH51" s="209">
        <f>IF(51=51,IF($U51="","",SUMPRODUCT(--ISNUMBER(SEARCH(" "&amp;$CR$306:$CR$340&amp;" ",$AA51)))),"")</f>
        <v>0</v>
      </c>
      <c r="AI51" s="209" t="str">
        <f>IF(51=51,IF($U51="","",IF((SUM(AG51:AH51))-(0)&gt;0,"X",IF((0)-(0)&gt;0,"?",""))),"")</f>
        <v/>
      </c>
      <c r="AJ51" s="209">
        <f>IF(51=51,IF($U51="","",SUMPRODUCT(--ISNUMBER(SEARCH(" "&amp;$CR$341:$CR$398&amp;" ",$AA51)))),"")</f>
        <v>0</v>
      </c>
      <c r="AK51" s="209">
        <f>IF(51=51,IF($U51="","",SUMPRODUCT(--ISNUMBER(SEARCH(" "&amp;$CR$399:$CR$426&amp;" ",$AL51)))+SUMPRODUCT(--ISNUMBER(SEARCH(" "&amp;$CR$2440:$CR$2453&amp;" ",$AL51)))),"")</f>
        <v>0</v>
      </c>
      <c r="AL51" s="209" t="str">
        <f>IF(51=51,IF($U51="","",SUBSTITUTE(SUBSTITUTE(SUBSTITUTE(SUBSTITUTE(SUBSTITUTE(SUBSTITUTE(SUBSTITUTE(SUBSTITUTE(SUBSTITUTE(SUBSTITUTE(SUBSTITUTE(SUBSTITUTE(SUBSTITUTE(SUBSTITUTE($AA51,"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sauce nappage chocolat </v>
      </c>
      <c r="AM51" s="209" t="str">
        <f>IF(51=51,IF($U51="","",IF(AJ51&gt;0,"X",IF(AK51&gt;0,"?",""))),"")</f>
        <v/>
      </c>
      <c r="AN51" s="209">
        <f>IF(51=51,IF($U51="","",SUMPRODUCT(--ISNUMBER(SEARCH(" "&amp;$CR$436:$CR$535&amp;" ",$AX51)))),"")</f>
        <v>0</v>
      </c>
      <c r="AO51" s="209">
        <f>IF(51=51,IF($U51="","",SUMPRODUCT(--ISNUMBER(SEARCH(" "&amp;$CR$536:$CR$635&amp;" ",$AX51)))),"")</f>
        <v>0</v>
      </c>
      <c r="AP51" s="209">
        <f>IF(51=51,IF($U51="","",SUMPRODUCT(--ISNUMBER(SEARCH(" "&amp;$CR$636:$CR$735&amp;" ",$AX51)))),"")</f>
        <v>0</v>
      </c>
      <c r="AQ51" s="209">
        <f>IF(51=51,IF($U51="","",SUMPRODUCT(--ISNUMBER(SEARCH(" "&amp;$CR$736:$CR$835&amp;" ",$AX51)))),"")</f>
        <v>0</v>
      </c>
      <c r="AR51" s="209">
        <f>IF(51=51,IF($U51="","",SUMPRODUCT(--ISNUMBER(SEARCH(" "&amp;$CR$836:$CR$935&amp;" ",$AX51)))),"")</f>
        <v>0</v>
      </c>
      <c r="AS51" s="209">
        <f>IF(51=51,IF($U51="","",SUMPRODUCT(--ISNUMBER(SEARCH(" "&amp;$CR$936:$CR$1035&amp;" ",$AX51)))),"")</f>
        <v>0</v>
      </c>
      <c r="AT51" s="209">
        <f>IF(51=51,IF($U51="","",SUMPRODUCT(--ISNUMBER(SEARCH(" "&amp;$CR$1036:$CR$1135&amp;" ",$AX51)))),"")</f>
        <v>0</v>
      </c>
      <c r="AU51" s="209">
        <f>IF(51=51,IF($U51="","",SUMPRODUCT(--ISNUMBER(SEARCH(" "&amp;$CR$1136:$CR$1235&amp;" ",$AX51)))),"")</f>
        <v>0</v>
      </c>
      <c r="AV51" s="209">
        <f>IF(51=51,IF($U51="","",SUMPRODUCT(--ISNUMBER(SEARCH(" "&amp;$CR$1236:$CR$1335&amp;" ",$AX51)))),"")</f>
        <v>0</v>
      </c>
      <c r="AW51" s="209">
        <f>IF(51=51,IF($U51="","",SUMPRODUCT(--ISNUMBER(SEARCH(" "&amp;$CR$1336:$CR$1363&amp;" ",$AX51)))),"")</f>
        <v>0</v>
      </c>
      <c r="AX51" s="209" t="str">
        <f>IF(51=51,IF($U51="","",SUBSTITUTE(SUBSTITUTE(SUBSTITUTE(SUBSTITUTE(SUBSTITUTE(SUBSTITUTE(SUBSTITUTE(SUBSTITUTE(SUBSTITUTE($AA51,"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sauce nappage chocolat </v>
      </c>
      <c r="AY51" s="209">
        <f>IF(51=51,IF($U51="","",SUMPRODUCT(--ISNUMBER(SEARCH(" "&amp;$CR$1373:$CR$1383&amp;" ",$AX51)))),"")</f>
        <v>0</v>
      </c>
      <c r="AZ51" s="209" t="str">
        <f>IF(51=51,IF($U51="","",IF(SUM(AN51:AW51)+SUMPRODUCT(--ISNUMBER(SEARCH(" "&amp;$CR$2421:$CR$2422&amp;" ",$AX51)))&gt;0,"X",IF(AY51&gt;0,"?",""))),"")</f>
        <v/>
      </c>
      <c r="BA51" s="209">
        <f>IF(51=51,IF($U51="","",SUMPRODUCT(--ISNUMBER(SEARCH(" "&amp;$CR$1384:$CR$1404&amp;" ",$AA51)))),"")</f>
        <v>0</v>
      </c>
      <c r="BB51" s="209" t="str">
        <f>IF(51=51,IF($U51="","",IF((BA51)-(0)&gt;0,"X",IF((0)-(0)&gt;0,"?",""))),"")</f>
        <v/>
      </c>
      <c r="BC51" s="209">
        <f>IF(51=51,IF($U51="","",SUMPRODUCT(--ISNUMBER(SEARCH(" "&amp;$CR$1405:$CR$1442&amp;" ",$BD51)))),"")</f>
        <v>0</v>
      </c>
      <c r="BD51" s="209" t="str">
        <f>IF(51=51,IF($U51="","",SUBSTITUTE(SUBSTITUTE($AA51," "&amp;$CR$1443&amp;" "," ")," "&amp;$CR$1444&amp;" "," ")),"")</f>
        <v xml:space="preserve"> sauce nappage chocolat </v>
      </c>
      <c r="BE51" s="209">
        <f>IF(51=51,IF($U51="","",SUMPRODUCT(--ISNUMBER(SEARCH(" "&amp;$CR$1445:$CR$1455&amp;" ",$BD51)))),"")</f>
        <v>1</v>
      </c>
      <c r="BF51" s="209" t="str">
        <f>IF(51=51,IF($U51="","",IF(BC51&gt;0,"X",IF(BE51&gt;0,"?",""))),"")</f>
        <v>?</v>
      </c>
      <c r="BG51" s="209">
        <f>IF(51=51,IF($U51="","",SUMPRODUCT(--ISNUMBER(SEARCH(" "&amp;$CR$1456:$CR$1555&amp;" ",$BJ51)))),"")</f>
        <v>0</v>
      </c>
      <c r="BH51" s="209">
        <f>IF(51=51,IF($U51="","",SUMPRODUCT(--ISNUMBER(SEARCH(" "&amp;$CR$1556:$CR$1655&amp;" ",$BJ51)))),"")</f>
        <v>0</v>
      </c>
      <c r="BI51" s="209">
        <f>IF(51=51,IF($U51="","",SUMPRODUCT(--ISNUMBER(SEARCH(" "&amp;$CR$1656:$CR$1739&amp;" ",$BJ51)))),"")</f>
        <v>0</v>
      </c>
      <c r="BJ51" s="209" t="str">
        <f>IF(51=51,IF($U51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51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sauce nappage chocolat </v>
      </c>
      <c r="BK51" s="209">
        <f>IF(51=51,IF($U51="","",SUMPRODUCT(--ISNUMBER(SEARCH(" "&amp;$CR$1790:$CR$1869&amp;" ",$BL51)))+SUMPRODUCT(--ISNUMBER(SEARCH(" "&amp;$CR$2440:$CR$2453&amp;" ",$BL51)))),"")</f>
        <v>0</v>
      </c>
      <c r="BL51" s="209" t="str">
        <f>IF(51=51,IF($U51="","",SUBSTITUTE(SUBSTITUTE(SUBSTITUTE(SUBSTITUTE(SUBSTITUTE(SUBSTITUTE(SUBSTITUTE(SUBSTITUTE(SUBSTITUTE(SUBSTITUTE(SUBSTITUTE(SUBSTITUTE(SUBSTITUTE($BJ51,"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sauce nappage chocolat </v>
      </c>
      <c r="BM51" s="209" t="str">
        <f>IF(51=51,IF($U51="","",IF(SUM(BG51:BI51)+SUMPRODUCT(--ISNUMBER(SEARCH(" "&amp;$CR$2423:$CR$2424&amp;" ",$BJ51)))&gt;0,"X",IF(BK51&gt;0,"?",""))),"")</f>
        <v/>
      </c>
      <c r="BN51" s="209">
        <f>IF(51=51,IF($U51="","",SUMPRODUCT(--ISNUMBER(SEARCH(" "&amp;$CR$1879:$CR$1936&amp;" ",$BO51)))),"")</f>
        <v>0</v>
      </c>
      <c r="BO51" s="209" t="str">
        <f>IF(51=51,IF($U51="","",SUBSTITUTE(SUBSTITUTE(SUBSTITUTE(SUBSTITUTE(SUBSTITUTE(SUBSTITUTE(SUBSTITUTE(SUBSTITUTE(SUBSTITUTE(SUBSTITUTE(SUBSTITUTE(SUBSTITUTE(SUBSTITUTE(SUBSTITUTE(SUBSTITUTE(SUBSTITUTE(SUBSTITUTE(SUBSTITUTE(SUBSTITUTE(SUBSTITUTE(SUBSTITUTE(SUBSTITUTE(SUBSTITUTE($AA51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sauce nappage chocolat </v>
      </c>
      <c r="BP51" s="209">
        <f>IF(51=51,IF($U51="","",SUMPRODUCT(--ISNUMBER(SEARCH(" "&amp;$CR$1960:$CR$1976&amp;" ",$BO51)))),"")</f>
        <v>0</v>
      </c>
      <c r="BQ51" s="209" t="str">
        <f>IF(51=51,IF($U51="","",IF(BN51&gt;0,"X",IF(BP51&gt;0,"?",""))),"")</f>
        <v/>
      </c>
      <c r="BR51" s="209">
        <f>IF(51=51,IF($U51="","",SUMPRODUCT(--ISNUMBER(SEARCH(" "&amp;$CR$1977:$CR$1990&amp;" ",$AA51)))),"")</f>
        <v>0</v>
      </c>
      <c r="BS51" s="209">
        <f>IF(51=51,IF($U51="","",SUMPRODUCT(--ISNUMBER(SEARCH(" "&amp;$CR$1991:$CR$2005&amp;" ",$AA51)))),"")</f>
        <v>0</v>
      </c>
      <c r="BT51" s="209" t="str">
        <f>IF(51=51,IF($U51="","",IF((BR51)-(0)&gt;0,"X",IF((BS51)-(0)&gt;0,"?",""))),"")</f>
        <v/>
      </c>
      <c r="BU51" s="209">
        <f>IF(51=51,IF($U51="","",SUMPRODUCT(--ISNUMBER(SEARCH(" "&amp;$CR$2006:$CR$2023&amp;" ",$AA51)))),"")</f>
        <v>0</v>
      </c>
      <c r="BV51" s="209">
        <f>IF(51=51,IF($U51="","",SUMPRODUCT(--ISNUMBER(SEARCH(" "&amp;$CR$2024:$CR$2038&amp;" ",$AA51)))),"")</f>
        <v>0</v>
      </c>
      <c r="BW51" s="209" t="str">
        <f>IF(51=51,IF($U51="","",IF((BU51)-(0)&gt;0,"X",IF((BV51)-(0)&gt;0,"?",""))),"")</f>
        <v/>
      </c>
      <c r="BX51" s="209">
        <f>IF(51=51,IF($U51="","",SUMPRODUCT(--ISNUMBER(SEARCH(" "&amp;$CR$2039:$CR$2057&amp;" ",$AA51)))),"")</f>
        <v>0</v>
      </c>
      <c r="BY51" s="209">
        <f>IF(51=51,IF($U51="","",SUMPRODUCT(--ISNUMBER(SEARCH(" "&amp;$CR$2058:$CR$2072&amp;" ",$AA51)))),"")</f>
        <v>0</v>
      </c>
      <c r="BZ51" s="209" t="str">
        <f>IF(51=51,IF($U51="","",IF((BX51)-(0)&gt;0,"X",IF((BY51)-(0)&gt;0,"?",""))),"")</f>
        <v/>
      </c>
      <c r="CA51" s="209">
        <f>IF(51=51,IF($U51="","",SUMPRODUCT(--ISNUMBER(SEARCH(" "&amp;$CR$2073:$CR$2093&amp;" ",$AA51)))),"")</f>
        <v>0</v>
      </c>
      <c r="CB51" s="209">
        <f>IF(51=51,IF($U51="","",SUMPRODUCT(--ISNUMBER(SEARCH(" "&amp;$CR$2094:$CR$2133&amp;" ",SUBSTITUTE(SUBSTITUTE($AA51," "&amp;$CR$1367&amp;" "," ")," "&amp;$CR$1366&amp;" "," "))))+--ISNUMBER(SEARCH("poiré",$V51))),"")</f>
        <v>0</v>
      </c>
      <c r="CC51" s="209" t="str">
        <f>IF(51=51,IF($U51="","",IF(OR(CA51&gt;0,ISNUMBER(SEARCH(" vinaigre de vin ",$AA51)),ISNUMBER(SEARCH(" vinaigre au vin ",$AA51))),"X",IF(CB51&gt;0,"?",""))),"")</f>
        <v/>
      </c>
      <c r="CD51" s="209">
        <f>IF(51=51,IF($U51="","",SUMPRODUCT(--ISNUMBER(SEARCH(" "&amp;$CR$2134:$CR$2146&amp;" ",$AA51)))),"")</f>
        <v>0</v>
      </c>
      <c r="CE51" s="209">
        <f>IF(51=51,IF($U51="","",SUMPRODUCT(--ISNUMBER(SEARCH(" "&amp;$CR$2147:$CR$2152&amp;" ",$AA51)))),"")</f>
        <v>0</v>
      </c>
      <c r="CF51" s="209" t="str">
        <f>IF(51=51,IF($U51="","",IF((CD51)-(0)&gt;0,"X",IF((CE51)-(0)&gt;0,"?",""))),"")</f>
        <v/>
      </c>
      <c r="CG51" s="209">
        <f>IF(51=51,IF($U51="","",SUMPRODUCT(--ISNUMBER(SEARCH(" "&amp;$CR$2153:$CR$2252&amp;" ",$CJ51)))),"")</f>
        <v>0</v>
      </c>
      <c r="CH51" s="209">
        <f>IF(51=51,IF($U51="","",SUMPRODUCT(--ISNUMBER(SEARCH(" "&amp;$CR$2253:$CR$2352&amp;" ",$CJ51)))),"")</f>
        <v>0</v>
      </c>
      <c r="CI51" s="209">
        <f>IF(51=51,IF($U51="","",SUMPRODUCT(--ISNUMBER(SEARCH(" "&amp;$CR$2353:$CR$2395&amp;" ",$CJ51)))),"")</f>
        <v>0</v>
      </c>
      <c r="CJ51" s="209" t="str">
        <f>IF(51=51,IF($U51="","",SUBSTITUTE(SUBSTITUTE(SUBSTITUTE(SUBSTITUTE(SUBSTITUTE(SUBSTITUTE(SUBSTITUTE(SUBSTITUTE(SUBSTITUTE(SUBSTITUTE(SUBSTITUTE(SUBSTITUTE(SUBSTITUTE(SUBSTITUTE(SUBSTITUTE(SUBSTITUTE($AA51,"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sauce nappage chocolat </v>
      </c>
      <c r="CK51" s="209">
        <f>IF(51=51,IF($U51="","",SUMPRODUCT(--ISNUMBER(SEARCH(" "&amp;$CR$2412:$CR$2416&amp;" ",$CJ51)))),"")</f>
        <v>0</v>
      </c>
      <c r="CL51" s="209" t="str">
        <f>IF(51=51,IF($U51="","",IF(SUM(CG51:CI51)&gt;0,"X",IF(CK51&gt;0,"?",""))),"")</f>
        <v/>
      </c>
      <c r="CM51" s="210"/>
      <c r="CN51" s="213" t="s">
        <v>1081</v>
      </c>
      <c r="CO51" s="213" t="s">
        <v>878</v>
      </c>
      <c r="CP51" s="213" t="s">
        <v>879</v>
      </c>
      <c r="CQ51" s="213" t="s">
        <v>1082</v>
      </c>
      <c r="CR51" s="213" t="s">
        <v>1083</v>
      </c>
      <c r="CS51" s="213" t="s">
        <v>881</v>
      </c>
      <c r="CT51" s="213" t="s">
        <v>882</v>
      </c>
      <c r="CU51" s="213" t="s">
        <v>883</v>
      </c>
      <c r="CV51" s="214" t="s">
        <v>884</v>
      </c>
      <c r="CX51" s="212">
        <v>1</v>
      </c>
    </row>
    <row r="52" spans="1:102" ht="21" customHeight="1">
      <c r="A52" s="229">
        <v>46</v>
      </c>
      <c r="B52" s="230" t="s">
        <v>6642</v>
      </c>
      <c r="C52" s="231" t="str">
        <f t="shared" si="0"/>
        <v>Biscuit décoratif *</v>
      </c>
      <c r="D52" s="232" t="str">
        <f>IF(52=52,IF($B52="","",IF(E52="X",""&amp;"Céréales contenant du gluten","")&amp;IF(F52="X",IF(COUNTIF($E52:$E52,"X")&gt;0,", ","")&amp;"Crustacés","")&amp;IF(G52="X",IF(COUNTIF($E52:$F52,"X")&gt;0,", ","")&amp;"Œufs","")&amp;IF(H52="X",IF(COUNTIF($E52:$G52,"X")&gt;0,", ","")&amp;"Poissons","")&amp;IF(I52="X",IF(COUNTIF($E52:$H52,"X")&gt;0,", ","")&amp;"Arachides","")&amp;IF(J52="X",IF(COUNTIF($E52:$I52,"X")&gt;0,", ","")&amp;"Soja","")&amp;IF(K52="X",IF(COUNTIF($E52:$J52,"X")&gt;0,", ","")&amp;"Lait","")&amp;IF(L52="X",IF(COUNTIF($E52:$K52,"X")&gt;0,", ","")&amp;"Fruits à coque","")&amp;IF(M52="X",IF(COUNTIF($E52:$L52,"X")&gt;0,", ","")&amp;"Céleri","")&amp;IF(N52="X",IF(COUNTIF($E52:$M52,"X")&gt;0,", ","")&amp;"Moutarde","")&amp;IF(O52="X",IF(COUNTIF($E52:$N52,"X")&gt;0,", ","")&amp;"Sésame","")&amp;IF(P52="X",IF(COUNTIF($E52:$O52,"X")&gt;0,", ","")&amp;"Sulfites","")&amp;IF(Q52="X",IF(COUNTIF($E52:$P52,"X")&gt;0,", ","")&amp;"Lupin","")&amp;IF(R52="X",IF(COUNTIF($E52:$Q52,"X")&gt;0,", ","")&amp;"Mollusques","")),"")</f>
        <v>Céréales contenant du gluten</v>
      </c>
      <c r="E52" s="233" t="str">
        <f>IF(52=52,IF($B52="","",IF(OR(ISNUMBER(SEARCH(" biere sans gluten ",$AA52)),ISNUMBER(SEARCH(" gluten free beer ",$AA52)),ISNUMBER(SEARCH(" beer gluten free ",$AA52))),"",IF(AF52="X","X",IF(OR(AF52="?",OR(ISNUMBER(SEARCH(" worcestershire ",$AA52)),ISNUMBER(SEARCH(" bloody mary ",$AA52)))),"?","")))),"")</f>
        <v>X</v>
      </c>
      <c r="F52" s="233" t="str">
        <f>IF(52=52,IF($B52="","",AI52),"")</f>
        <v/>
      </c>
      <c r="G52" s="233" t="str">
        <f>IF(52=52,IF($B52="","",IF(OR(TRIM($AA52)="puree pate d amande",TRIM($AA52)="pate puree d amande",TRIM($AA52)="puree d amande",TRIM($AA52)="pate d amande",TRIM($AA52)="pate puree de noisette",TRIM($AA52)="puree pate de noisette",TRIM($AA52)="puree de noisette",TRIM($AA52)="pate de noisette"),"",IF(OR(AM52="X",OR(ISNUMBER(SEARCH(" macaron ",$AA52)),ISNUMBER(SEARCH(" egg nog ",$AA52)),ISNUMBER(SEARCH(" eggnog ",$AA52)))),"X",IF(OR(AM52="?",OR(ISNUMBER(SEARCH(" biscuit decoratif ",$AA52)),ISNUMBER(SEARCH(" whisky sour ",$AA52)),ISNUMBER(SEARCH(" whiskey sour ",$AA52)),ISNUMBER(SEARCH(" amaretto sour ",$AA52)),ISNUMBER(SEARCH(" pisco sour ",$AA52)),ISNUMBER(SEARCH(" clover club ",$AA52)),ISNUMBER(SEARCH(" ramos gin fizz ",$AA52)))),"?","")))),"")</f>
        <v>?</v>
      </c>
      <c r="H52" s="233" t="str">
        <f>IF(52=52,IF($B52="","",IF(ISNUMBER(SEARCH(" colin ",$AA52)),"X",IF(AZ52="X","X",IF(OR(AZ52="?",OR(ISNUMBER(SEARCH(" worcestershire ",$AA52)),ISNUMBER(SEARCH(" bloody mary ",$AA52)))),"?","")))),"")</f>
        <v/>
      </c>
      <c r="I52" s="233" t="str">
        <f>IF(52=52,IF($B52="","",BB52),"")</f>
        <v/>
      </c>
      <c r="J52" s="233" t="str">
        <f>IF(52=52,IF($B52="","",BF52),"")</f>
        <v/>
      </c>
      <c r="K52" s="233" t="str">
        <f>IF(52=52,IF($B52="","",IF(OR(OR(TRIM($AA52)="puree pate d amande",TRIM($AA52)="pate puree d amande",TRIM($AA52)="puree d amande",TRIM($AA52)="pate d amande",TRIM($AA52)="pate puree de noisette",TRIM($AA52)="puree pate de noisette",TRIM($AA52)="puree de noisette",TRIM($AA52)="pate de noisette"),OR(TRIM($AA52)="beurre puree d arachide",TRIM($AA52)="beurre d arachide",TRIM($AA52)="puree d arachide"),OR(TRIM($AA52)="tahini puree de sesame",TRIM($AA52)="tahini",TRIM($AA52)="puree de sesame")),"",IF(OR(TRIM($AA52)="creme de cassis",TRIM($AA52)="creme de menthe",TRIM($AA52)="creme de cacao",TRIM($AA52)="creme de mure",TRIM($AA52)="creme de framboise",TRIM($AA52)="creme de peche",TRIM($AA52)="creme de banane",TRIM($AA52)="liqueur creme de coco",TRIM($AA52)="creme de coco",TRIM($AA52)="spiritueux aromatise arrange creme de spiritueux"),"?",IF(OR(BM52="X",OR(ISNUMBER(SEARCH(" baileys ",$AA52)),ISNUMBER(SEARCH(" irish cream ",$AA52)),ISNUMBER(SEARCH(" creme de whisky ",$AA52)))),"X",IF(OR(BM52="?",OR(OR(TRIM($AA52)="creme de cassis",TRIM($AA52)="creme de menthe",TRIM($AA52)="creme de cacao",TRIM($AA52)="creme de mure",TRIM($AA52)="creme de framboise",TRIM($AA52)="creme de peche",TRIM($AA52)="creme de banane",TRIM($AA52)="liqueur creme de coco",TRIM($AA52)="creme de coco",TRIM($AA52)="spiritueux aromatise arrange creme de spiritueux"),ISNUMBER(SEARCH(" advocaat ",$AA52)),ISNUMBER(SEARCH(" liqueur aux oeufs ",$AA52)),ISNUMBER(SEARCH(" liqueur de chocolat ",$AA52)),ISNUMBER(SEARCH(" liqueur de caramel ",$AA52)),ISNUMBER(SEARCH(" sauce nappage chocolat ",$AA52)),ISNUMBER(SEARCH(" biscuit decoratif ",$AA52)),ISNUMBER(SEARCH(" white russian ",$AA52)),ISNUMBER(SEARCH(" grasshopper ",$AA52)),ISNUMBER(SEARCH(" irish coffee ",$AA52)),ISNUMBER(SEARCH(" ramos gin fizz ",$AA52)),ISNUMBER(SEARCH(" egg nog ",$AA52)),ISNUMBER(SEARCH(" eggnog ",$AA52)))),"?",""))))),"")</f>
        <v>?</v>
      </c>
      <c r="L52" s="233" t="str">
        <f>IF(52=52,IF($B52="","",IF(OR(BQ52="X",OR(OR(TRIM($AA52)="puree pate d amande",TRIM($AA52)="pate puree d amande",TRIM($AA52)="puree d amande",TRIM($AA52)="pate d amande",TRIM($AA52)="pate puree de noisette",TRIM($AA52)="puree pate de noisette",TRIM($AA52)="puree de noisette",TRIM($AA52)="pate de noisette"),ISNUMBER(SEARCH(" macaron ",$AA52)),TRIM($AA52)="fruits a coque")),"X",IF(OR(BQ52="?",OR(ISNUMBER(SEARCH(" sirop d orgeat ",$AA52)),ISNUMBER(SEARCH(" orgeat ",$AA52)),ISNUMBER(SEARCH(" amaretto ",$AA52)))),"?",""))),"")</f>
        <v/>
      </c>
      <c r="M52" s="233" t="str">
        <f>IF(52=52,IF($B52="","",IF(OR(OR(TRIM($AA52)="puree pate d amande",TRIM($AA52)="pate puree d amande",TRIM($AA52)="puree d amande",TRIM($AA52)="pate d amande",TRIM($AA52)="pate puree de noisette",TRIM($AA52)="puree pate de noisette",TRIM($AA52)="puree de noisette",TRIM($AA52)="pate de noisette"),OR(TRIM($AA52)="tahini puree de sesame",TRIM($AA52)="tahini",TRIM($AA52)="puree de sesame")),"",IF(BT52="X","X",IF(OR(BT52="?",ISNUMBER(SEARCH(" bloody mary ",$AA52))),"?","")))),"")</f>
        <v/>
      </c>
      <c r="N52" s="233" t="str">
        <f>IF(52=52,IF($B52="","",IF(OR(OR(TRIM($AA52)="puree pate d amande",TRIM($AA52)="pate puree d amande",TRIM($AA52)="puree d amande",TRIM($AA52)="pate d amande",TRIM($AA52)="pate puree de noisette",TRIM($AA52)="puree pate de noisette",TRIM($AA52)="puree de noisette",TRIM($AA52)="pate de noisette"),OR(TRIM($AA52)="tahini puree de sesame",TRIM($AA52)="tahini",TRIM($AA52)="puree de sesame")),"",IF(BW52="X","X",IF(OR(BW52="?",ISNUMBER(SEARCH(" bloody mary ",$AA52))),"?","")))),"")</f>
        <v/>
      </c>
      <c r="O52" s="233" t="str">
        <f>IF(52=52,IF($B52="","",BZ52),"")</f>
        <v/>
      </c>
      <c r="P52" s="233" t="str">
        <f>IF(52=52,IF($B52="","",CC52),"")</f>
        <v/>
      </c>
      <c r="Q52" s="233" t="str">
        <f>IF(52=52,IF($B52="","",CF52),"")</f>
        <v/>
      </c>
      <c r="R52" s="233" t="str">
        <f>IF(52=52,IF($B52="","",IF(TRIM($AA52)="fruits a coque","",IF(CL52="X","X",IF(OR(CL52="?",OR(ISNUMBER(SEARCH(" clamato ",$AA52)),ISNUMBER(SEARCH(" bloody caesar ",$AA52)))),"?","")))),"")</f>
        <v/>
      </c>
      <c r="S52" s="234" t="str">
        <f>IF(52=52,IF($B52="","",IF(E52="?",""&amp;"Céréales contenant du gluten","")&amp;IF(F52="?",IF(COUNTIF($E52:$E52,"~?")&gt;0,", ","")&amp;"Crustacés","")&amp;IF(G52="?",IF(COUNTIF($E52:$F52,"~?")&gt;0,", ","")&amp;"Œufs","")&amp;IF(H52="?",IF(COUNTIF($E52:$G52,"~?")&gt;0,", ","")&amp;"Poissons","")&amp;IF(I52="?",IF(COUNTIF($E52:$H52,"~?")&gt;0,", ","")&amp;"Arachides","")&amp;IF(J52="?",IF(COUNTIF($E52:$I52,"~?")&gt;0,", ","")&amp;"Soja","")&amp;IF(K52="?",IF(COUNTIF($E52:$J52,"~?")&gt;0,", ","")&amp;"Lait","")&amp;IF(L52="?",IF(COUNTIF($E52:$K52,"~?")&gt;0,", ","")&amp;"Fruits à coque","")&amp;IF(M52="?",IF(COUNTIF($E52:$L52,"~?")&gt;0,", ","")&amp;"Céleri","")&amp;IF(N52="?",IF(COUNTIF($E52:$M52,"~?")&gt;0,", ","")&amp;"Moutarde","")&amp;IF(O52="?",IF(COUNTIF($E52:$N52,"~?")&gt;0,", ","")&amp;"Sésame","")&amp;IF(P52="?",IF(COUNTIF($E52:$O52,"~?")&gt;0,", ","")&amp;"Sulfites","")&amp;IF(Q52="?",IF(COUNTIF($E52:$P52,"~?")&gt;0,", ","")&amp;"Lupin","")&amp;IF(R52="?",IF(COUNTIF($E52:$Q52,"~?")&gt;0,", ","")&amp;"Mollusques","")),"")</f>
        <v>Œufs, Lait</v>
      </c>
      <c r="U52" s="209" t="str">
        <f>IF(52=52,IF($B52="","",$B52),"")</f>
        <v>Biscuit décoratif</v>
      </c>
      <c r="V52" s="209" t="str">
        <f>IF(52=52,LOWER(CLEAN(SUBSTITUTE(SUBSTITUTE(SUBSTITUTE(SUBSTITUTE($U52,CHAR(160)," ")," "," "),CHAR(10)," "),CHAR(13)," "))),"")</f>
        <v>biscuit décoratif</v>
      </c>
      <c r="W52" s="209" t="str">
        <f>IF(52=52,SUBSTITUTE(SUBSTITUTE(SUBSTITUTE(SUBSTITUTE(SUBSTITUTE(SUBSTITUTE(SUBSTITUTE(SUBSTITUTE(SUBSTITUTE(SUBSTITUTE(SUBSTITUTE(SUBSTITUTE($V52,"œ","oe"),"æ","ae"),"à","a"),"á","a"),"â","a"),"ä","a"),"ã","a"),"ç","c"),"è","e"),"é","e"),"ê","e"),"ë","e"),"")</f>
        <v>biscuit decoratif</v>
      </c>
      <c r="X52" s="209" t="str">
        <f>IF(52=52,SUBSTITUTE(SUBSTITUTE(SUBSTITUTE(SUBSTITUTE(SUBSTITUTE(SUBSTITUTE(SUBSTITUTE(SUBSTITUTE(SUBSTITUTE(SUBSTITUTE(SUBSTITUTE(SUBSTITUTE(SUBSTITUTE(SUBSTITUTE(SUBSTITUTE(SUBSTITUTE($W52,"ì","i"),"í","i"),"î","i"),"ï","i"),"ñ","n"),"ò","o"),"ó","o"),"ô","o"),"ö","o"),"õ","o"),"ù","u"),"ú","u"),"û","u"),"ü","u"),"ý","y"),"ÿ","y"),"")</f>
        <v>biscuit decoratif</v>
      </c>
      <c r="Y52" s="209" t="str">
        <f>IF(52=52,SUBSTITUTE(SUBSTITUTE(SUBSTITUTE(SUBSTITUTE(SUBSTITUTE(SUBSTITUTE(SUBSTITUTE(SUBSTITUTE(SUBSTITUTE(SUBSTITUTE(SUBSTITUTE(SUBSTITUTE(SUBSTITUTE(SUBSTITUTE($X52,"’"," "),"`"," "),"–"," "),"—"," "),"-"," "),"'"," "),"/"," "),"_"," "),","," "),"."," "),"("," "),")"," "),";"," "),":"," "),"")</f>
        <v>biscuit decoratif</v>
      </c>
      <c r="Z52" s="209" t="str">
        <f>IF(52=52,SUBSTITUTE(SUBSTITUTE(SUBSTITUTE(SUBSTITUTE(SUBSTITUTE(SUBSTITUTE(SUBSTITUTE(SUBSTITUTE(SUBSTITUTE(SUBSTITUTE(SUBSTITUTE(SUBSTITUTE(SUBSTITUTE(SUBSTITUTE(SUBSTITUTE($Y52,"!"," "),"?"," "),"+"," "),"*"," "),"&amp;"," "),"["," "),"]"," "),"{"," "),"}"," "),"%"," "),"="," "),"\"," "),"|"," "),"&lt;"," "),"&gt;"," "),"")</f>
        <v>biscuit decoratif</v>
      </c>
      <c r="AA52" s="209" t="str">
        <f>IF(52=52," "&amp;TRIM(SUBSTITUTE(SUBSTITUTE(SUBSTITUTE(SUBSTITUTE(SUBSTITUTE(SUBSTITUTE($Z52,CHAR(34)," "),"  "," "),"  "," "),"  "," "),"  "," "),"  "," "))&amp;" ","")</f>
        <v xml:space="preserve"> biscuit decoratif </v>
      </c>
      <c r="AB52" s="209">
        <f>IF(52=52,IF($U52="","",SUMPRODUCT(--ISNUMBER(SEARCH(" "&amp;$CR$2:$CR$101&amp;" ",$AD52)))),"")</f>
        <v>1</v>
      </c>
      <c r="AC52" s="209">
        <f>IF(52=52,IF($U52="","",SUMPRODUCT(--ISNUMBER(SEARCH(" "&amp;$CR$102:$CR$151&amp;" ",$AD52)))),"")</f>
        <v>0</v>
      </c>
      <c r="AD52" s="209" t="str">
        <f t="shared" si="1"/>
        <v xml:space="preserve"> biscuit decoratif </v>
      </c>
      <c r="AE52" s="209">
        <f t="shared" si="2"/>
        <v>0</v>
      </c>
      <c r="AF52" s="209" t="str">
        <f>IF(52=52,IF($U52="","",IF(SUM(AB52:AC52)+SUMPRODUCT(--ISNUMBER(SEARCH(" "&amp;$CR$2418:$CR$2420&amp;" ",$AD52)))&gt;0,"X",IF(AE52&gt;0,"?",""))),"")</f>
        <v>X</v>
      </c>
      <c r="AG52" s="209">
        <f>IF(52=52,IF($U52="","",SUMPRODUCT(--ISNUMBER(SEARCH(" "&amp;$CR$206:$CR$305&amp;" ",$AA52)))),"")</f>
        <v>0</v>
      </c>
      <c r="AH52" s="209">
        <f>IF(52=52,IF($U52="","",SUMPRODUCT(--ISNUMBER(SEARCH(" "&amp;$CR$306:$CR$340&amp;" ",$AA52)))),"")</f>
        <v>0</v>
      </c>
      <c r="AI52" s="209" t="str">
        <f>IF(52=52,IF($U52="","",IF((SUM(AG52:AH52))-(0)&gt;0,"X",IF((0)-(0)&gt;0,"?",""))),"")</f>
        <v/>
      </c>
      <c r="AJ52" s="209">
        <f>IF(52=52,IF($U52="","",SUMPRODUCT(--ISNUMBER(SEARCH(" "&amp;$CR$341:$CR$398&amp;" ",$AA52)))),"")</f>
        <v>0</v>
      </c>
      <c r="AK52" s="209">
        <f>IF(52=52,IF($U52="","",SUMPRODUCT(--ISNUMBER(SEARCH(" "&amp;$CR$399:$CR$426&amp;" ",$AL52)))+SUMPRODUCT(--ISNUMBER(SEARCH(" "&amp;$CR$2440:$CR$2453&amp;" ",$AL52)))),"")</f>
        <v>0</v>
      </c>
      <c r="AL52" s="209" t="str">
        <f>IF(52=52,IF($U52="","",SUBSTITUTE(SUBSTITUTE(SUBSTITUTE(SUBSTITUTE(SUBSTITUTE(SUBSTITUTE(SUBSTITUTE(SUBSTITUTE(SUBSTITUTE(SUBSTITUTE(SUBSTITUTE(SUBSTITUTE(SUBSTITUTE(SUBSTITUTE($AA52,"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biscuit decoratif </v>
      </c>
      <c r="AM52" s="209" t="str">
        <f>IF(52=52,IF($U52="","",IF(AJ52&gt;0,"X",IF(AK52&gt;0,"?",""))),"")</f>
        <v/>
      </c>
      <c r="AN52" s="209">
        <f>IF(52=52,IF($U52="","",SUMPRODUCT(--ISNUMBER(SEARCH(" "&amp;$CR$436:$CR$535&amp;" ",$AX52)))),"")</f>
        <v>0</v>
      </c>
      <c r="AO52" s="209">
        <f>IF(52=52,IF($U52="","",SUMPRODUCT(--ISNUMBER(SEARCH(" "&amp;$CR$536:$CR$635&amp;" ",$AX52)))),"")</f>
        <v>0</v>
      </c>
      <c r="AP52" s="209">
        <f>IF(52=52,IF($U52="","",SUMPRODUCT(--ISNUMBER(SEARCH(" "&amp;$CR$636:$CR$735&amp;" ",$AX52)))),"")</f>
        <v>0</v>
      </c>
      <c r="AQ52" s="209">
        <f>IF(52=52,IF($U52="","",SUMPRODUCT(--ISNUMBER(SEARCH(" "&amp;$CR$736:$CR$835&amp;" ",$AX52)))),"")</f>
        <v>0</v>
      </c>
      <c r="AR52" s="209">
        <f>IF(52=52,IF($U52="","",SUMPRODUCT(--ISNUMBER(SEARCH(" "&amp;$CR$836:$CR$935&amp;" ",$AX52)))),"")</f>
        <v>0</v>
      </c>
      <c r="AS52" s="209">
        <f>IF(52=52,IF($U52="","",SUMPRODUCT(--ISNUMBER(SEARCH(" "&amp;$CR$936:$CR$1035&amp;" ",$AX52)))),"")</f>
        <v>0</v>
      </c>
      <c r="AT52" s="209">
        <f>IF(52=52,IF($U52="","",SUMPRODUCT(--ISNUMBER(SEARCH(" "&amp;$CR$1036:$CR$1135&amp;" ",$AX52)))),"")</f>
        <v>0</v>
      </c>
      <c r="AU52" s="209">
        <f>IF(52=52,IF($U52="","",SUMPRODUCT(--ISNUMBER(SEARCH(" "&amp;$CR$1136:$CR$1235&amp;" ",$AX52)))),"")</f>
        <v>0</v>
      </c>
      <c r="AV52" s="209">
        <f>IF(52=52,IF($U52="","",SUMPRODUCT(--ISNUMBER(SEARCH(" "&amp;$CR$1236:$CR$1335&amp;" ",$AX52)))),"")</f>
        <v>0</v>
      </c>
      <c r="AW52" s="209">
        <f>IF(52=52,IF($U52="","",SUMPRODUCT(--ISNUMBER(SEARCH(" "&amp;$CR$1336:$CR$1363&amp;" ",$AX52)))),"")</f>
        <v>0</v>
      </c>
      <c r="AX52" s="209" t="str">
        <f>IF(52=52,IF($U52="","",SUBSTITUTE(SUBSTITUTE(SUBSTITUTE(SUBSTITUTE(SUBSTITUTE(SUBSTITUTE(SUBSTITUTE(SUBSTITUTE(SUBSTITUTE($AA52,"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biscuit decoratif </v>
      </c>
      <c r="AY52" s="209">
        <f>IF(52=52,IF($U52="","",SUMPRODUCT(--ISNUMBER(SEARCH(" "&amp;$CR$1373:$CR$1383&amp;" ",$AX52)))),"")</f>
        <v>0</v>
      </c>
      <c r="AZ52" s="209" t="str">
        <f>IF(52=52,IF($U52="","",IF(SUM(AN52:AW52)+SUMPRODUCT(--ISNUMBER(SEARCH(" "&amp;$CR$2421:$CR$2422&amp;" ",$AX52)))&gt;0,"X",IF(AY52&gt;0,"?",""))),"")</f>
        <v/>
      </c>
      <c r="BA52" s="209">
        <f>IF(52=52,IF($U52="","",SUMPRODUCT(--ISNUMBER(SEARCH(" "&amp;$CR$1384:$CR$1404&amp;" ",$AA52)))),"")</f>
        <v>0</v>
      </c>
      <c r="BB52" s="209" t="str">
        <f>IF(52=52,IF($U52="","",IF((BA52)-(0)&gt;0,"X",IF((0)-(0)&gt;0,"?",""))),"")</f>
        <v/>
      </c>
      <c r="BC52" s="209">
        <f>IF(52=52,IF($U52="","",SUMPRODUCT(--ISNUMBER(SEARCH(" "&amp;$CR$1405:$CR$1442&amp;" ",$BD52)))),"")</f>
        <v>0</v>
      </c>
      <c r="BD52" s="209" t="str">
        <f>IF(52=52,IF($U52="","",SUBSTITUTE(SUBSTITUTE($AA52," "&amp;$CR$1443&amp;" "," ")," "&amp;$CR$1444&amp;" "," ")),"")</f>
        <v xml:space="preserve"> biscuit decoratif </v>
      </c>
      <c r="BE52" s="209">
        <f>IF(52=52,IF($U52="","",SUMPRODUCT(--ISNUMBER(SEARCH(" "&amp;$CR$1445:$CR$1455&amp;" ",$BD52)))),"")</f>
        <v>0</v>
      </c>
      <c r="BF52" s="209" t="str">
        <f>IF(52=52,IF($U52="","",IF(BC52&gt;0,"X",IF(BE52&gt;0,"?",""))),"")</f>
        <v/>
      </c>
      <c r="BG52" s="209">
        <f>IF(52=52,IF($U52="","",SUMPRODUCT(--ISNUMBER(SEARCH(" "&amp;$CR$1456:$CR$1555&amp;" ",$BJ52)))),"")</f>
        <v>0</v>
      </c>
      <c r="BH52" s="209">
        <f>IF(52=52,IF($U52="","",SUMPRODUCT(--ISNUMBER(SEARCH(" "&amp;$CR$1556:$CR$1655&amp;" ",$BJ52)))),"")</f>
        <v>0</v>
      </c>
      <c r="BI52" s="209">
        <f>IF(52=52,IF($U52="","",SUMPRODUCT(--ISNUMBER(SEARCH(" "&amp;$CR$1656:$CR$1739&amp;" ",$BJ52)))),"")</f>
        <v>0</v>
      </c>
      <c r="BJ52" s="209" t="str">
        <f>IF(52=52,IF($U52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52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biscuit decoratif </v>
      </c>
      <c r="BK52" s="209">
        <f>IF(52=52,IF($U52="","",SUMPRODUCT(--ISNUMBER(SEARCH(" "&amp;$CR$1790:$CR$1869&amp;" ",$BL52)))+SUMPRODUCT(--ISNUMBER(SEARCH(" "&amp;$CR$2440:$CR$2453&amp;" ",$BL52)))),"")</f>
        <v>0</v>
      </c>
      <c r="BL52" s="209" t="str">
        <f>IF(52=52,IF($U52="","",SUBSTITUTE(SUBSTITUTE(SUBSTITUTE(SUBSTITUTE(SUBSTITUTE(SUBSTITUTE(SUBSTITUTE(SUBSTITUTE(SUBSTITUTE(SUBSTITUTE(SUBSTITUTE(SUBSTITUTE(SUBSTITUTE($BJ52,"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biscuit decoratif </v>
      </c>
      <c r="BM52" s="209" t="str">
        <f>IF(52=52,IF($U52="","",IF(SUM(BG52:BI52)+SUMPRODUCT(--ISNUMBER(SEARCH(" "&amp;$CR$2423:$CR$2424&amp;" ",$BJ52)))&gt;0,"X",IF(BK52&gt;0,"?",""))),"")</f>
        <v/>
      </c>
      <c r="BN52" s="209">
        <f>IF(52=52,IF($U52="","",SUMPRODUCT(--ISNUMBER(SEARCH(" "&amp;$CR$1879:$CR$1936&amp;" ",$BO52)))),"")</f>
        <v>0</v>
      </c>
      <c r="BO52" s="209" t="str">
        <f>IF(52=52,IF($U52="","",SUBSTITUTE(SUBSTITUTE(SUBSTITUTE(SUBSTITUTE(SUBSTITUTE(SUBSTITUTE(SUBSTITUTE(SUBSTITUTE(SUBSTITUTE(SUBSTITUTE(SUBSTITUTE(SUBSTITUTE(SUBSTITUTE(SUBSTITUTE(SUBSTITUTE(SUBSTITUTE(SUBSTITUTE(SUBSTITUTE(SUBSTITUTE(SUBSTITUTE(SUBSTITUTE(SUBSTITUTE(SUBSTITUTE($AA52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biscuit decoratif </v>
      </c>
      <c r="BP52" s="209">
        <f>IF(52=52,IF($U52="","",SUMPRODUCT(--ISNUMBER(SEARCH(" "&amp;$CR$1960:$CR$1976&amp;" ",$BO52)))),"")</f>
        <v>0</v>
      </c>
      <c r="BQ52" s="209" t="str">
        <f>IF(52=52,IF($U52="","",IF(BN52&gt;0,"X",IF(BP52&gt;0,"?",""))),"")</f>
        <v/>
      </c>
      <c r="BR52" s="209">
        <f>IF(52=52,IF($U52="","",SUMPRODUCT(--ISNUMBER(SEARCH(" "&amp;$CR$1977:$CR$1990&amp;" ",$AA52)))),"")</f>
        <v>0</v>
      </c>
      <c r="BS52" s="209">
        <f>IF(52=52,IF($U52="","",SUMPRODUCT(--ISNUMBER(SEARCH(" "&amp;$CR$1991:$CR$2005&amp;" ",$AA52)))),"")</f>
        <v>0</v>
      </c>
      <c r="BT52" s="209" t="str">
        <f>IF(52=52,IF($U52="","",IF((BR52)-(0)&gt;0,"X",IF((BS52)-(0)&gt;0,"?",""))),"")</f>
        <v/>
      </c>
      <c r="BU52" s="209">
        <f>IF(52=52,IF($U52="","",SUMPRODUCT(--ISNUMBER(SEARCH(" "&amp;$CR$2006:$CR$2023&amp;" ",$AA52)))),"")</f>
        <v>0</v>
      </c>
      <c r="BV52" s="209">
        <f>IF(52=52,IF($U52="","",SUMPRODUCT(--ISNUMBER(SEARCH(" "&amp;$CR$2024:$CR$2038&amp;" ",$AA52)))),"")</f>
        <v>0</v>
      </c>
      <c r="BW52" s="209" t="str">
        <f>IF(52=52,IF($U52="","",IF((BU52)-(0)&gt;0,"X",IF((BV52)-(0)&gt;0,"?",""))),"")</f>
        <v/>
      </c>
      <c r="BX52" s="209">
        <f>IF(52=52,IF($U52="","",SUMPRODUCT(--ISNUMBER(SEARCH(" "&amp;$CR$2039:$CR$2057&amp;" ",$AA52)))),"")</f>
        <v>0</v>
      </c>
      <c r="BY52" s="209">
        <f>IF(52=52,IF($U52="","",SUMPRODUCT(--ISNUMBER(SEARCH(" "&amp;$CR$2058:$CR$2072&amp;" ",$AA52)))),"")</f>
        <v>0</v>
      </c>
      <c r="BZ52" s="209" t="str">
        <f>IF(52=52,IF($U52="","",IF((BX52)-(0)&gt;0,"X",IF((BY52)-(0)&gt;0,"?",""))),"")</f>
        <v/>
      </c>
      <c r="CA52" s="209">
        <f>IF(52=52,IF($U52="","",SUMPRODUCT(--ISNUMBER(SEARCH(" "&amp;$CR$2073:$CR$2093&amp;" ",$AA52)))),"")</f>
        <v>0</v>
      </c>
      <c r="CB52" s="209">
        <f>IF(52=52,IF($U52="","",SUMPRODUCT(--ISNUMBER(SEARCH(" "&amp;$CR$2094:$CR$2133&amp;" ",SUBSTITUTE(SUBSTITUTE($AA52," "&amp;$CR$1367&amp;" "," ")," "&amp;$CR$1366&amp;" "," "))))+--ISNUMBER(SEARCH("poiré",$V52))),"")</f>
        <v>0</v>
      </c>
      <c r="CC52" s="209" t="str">
        <f>IF(52=52,IF($U52="","",IF(OR(CA52&gt;0,ISNUMBER(SEARCH(" vinaigre de vin ",$AA52)),ISNUMBER(SEARCH(" vinaigre au vin ",$AA52))),"X",IF(CB52&gt;0,"?",""))),"")</f>
        <v/>
      </c>
      <c r="CD52" s="209">
        <f>IF(52=52,IF($U52="","",SUMPRODUCT(--ISNUMBER(SEARCH(" "&amp;$CR$2134:$CR$2146&amp;" ",$AA52)))),"")</f>
        <v>0</v>
      </c>
      <c r="CE52" s="209">
        <f>IF(52=52,IF($U52="","",SUMPRODUCT(--ISNUMBER(SEARCH(" "&amp;$CR$2147:$CR$2152&amp;" ",$AA52)))),"")</f>
        <v>0</v>
      </c>
      <c r="CF52" s="209" t="str">
        <f>IF(52=52,IF($U52="","",IF((CD52)-(0)&gt;0,"X",IF((CE52)-(0)&gt;0,"?",""))),"")</f>
        <v/>
      </c>
      <c r="CG52" s="209">
        <f>IF(52=52,IF($U52="","",SUMPRODUCT(--ISNUMBER(SEARCH(" "&amp;$CR$2153:$CR$2252&amp;" ",$CJ52)))),"")</f>
        <v>0</v>
      </c>
      <c r="CH52" s="209">
        <f>IF(52=52,IF($U52="","",SUMPRODUCT(--ISNUMBER(SEARCH(" "&amp;$CR$2253:$CR$2352&amp;" ",$CJ52)))),"")</f>
        <v>0</v>
      </c>
      <c r="CI52" s="209">
        <f>IF(52=52,IF($U52="","",SUMPRODUCT(--ISNUMBER(SEARCH(" "&amp;$CR$2353:$CR$2395&amp;" ",$CJ52)))),"")</f>
        <v>0</v>
      </c>
      <c r="CJ52" s="209" t="str">
        <f>IF(52=52,IF($U52="","",SUBSTITUTE(SUBSTITUTE(SUBSTITUTE(SUBSTITUTE(SUBSTITUTE(SUBSTITUTE(SUBSTITUTE(SUBSTITUTE(SUBSTITUTE(SUBSTITUTE(SUBSTITUTE(SUBSTITUTE(SUBSTITUTE(SUBSTITUTE(SUBSTITUTE(SUBSTITUTE($AA52,"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biscuit decoratif </v>
      </c>
      <c r="CK52" s="209">
        <f>IF(52=52,IF($U52="","",SUMPRODUCT(--ISNUMBER(SEARCH(" "&amp;$CR$2412:$CR$2416&amp;" ",$CJ52)))),"")</f>
        <v>0</v>
      </c>
      <c r="CL52" s="209" t="str">
        <f>IF(52=52,IF($U52="","",IF(SUM(CG52:CI52)&gt;0,"X",IF(CK52&gt;0,"?",""))),"")</f>
        <v/>
      </c>
      <c r="CM52" s="210"/>
      <c r="CN52" s="213" t="s">
        <v>1084</v>
      </c>
      <c r="CO52" s="213" t="s">
        <v>878</v>
      </c>
      <c r="CP52" s="213" t="s">
        <v>879</v>
      </c>
      <c r="CQ52" s="213" t="s">
        <v>1085</v>
      </c>
      <c r="CR52" s="213" t="s">
        <v>1085</v>
      </c>
      <c r="CS52" s="213" t="s">
        <v>881</v>
      </c>
      <c r="CT52" s="213" t="s">
        <v>882</v>
      </c>
      <c r="CU52" s="213" t="s">
        <v>883</v>
      </c>
      <c r="CV52" s="214" t="s">
        <v>884</v>
      </c>
      <c r="CX52" s="212">
        <v>1</v>
      </c>
    </row>
    <row r="53" spans="1:102" ht="21" customHeight="1">
      <c r="A53" s="229">
        <v>47</v>
      </c>
      <c r="B53" s="230" t="s">
        <v>6647</v>
      </c>
      <c r="C53" s="231" t="str">
        <f t="shared" si="0"/>
        <v>Macaron décoratif *</v>
      </c>
      <c r="D53" s="232" t="str">
        <f>IF(53=53,IF($B53="","",IF(E53="X",""&amp;"Céréales contenant du gluten","")&amp;IF(F53="X",IF(COUNTIF($E53:$E53,"X")&gt;0,", ","")&amp;"Crustacés","")&amp;IF(G53="X",IF(COUNTIF($E53:$F53,"X")&gt;0,", ","")&amp;"Œufs","")&amp;IF(H53="X",IF(COUNTIF($E53:$G53,"X")&gt;0,", ","")&amp;"Poissons","")&amp;IF(I53="X",IF(COUNTIF($E53:$H53,"X")&gt;0,", ","")&amp;"Arachides","")&amp;IF(J53="X",IF(COUNTIF($E53:$I53,"X")&gt;0,", ","")&amp;"Soja","")&amp;IF(K53="X",IF(COUNTIF($E53:$J53,"X")&gt;0,", ","")&amp;"Lait","")&amp;IF(L53="X",IF(COUNTIF($E53:$K53,"X")&gt;0,", ","")&amp;"Fruits à coque","")&amp;IF(M53="X",IF(COUNTIF($E53:$L53,"X")&gt;0,", ","")&amp;"Céleri","")&amp;IF(N53="X",IF(COUNTIF($E53:$M53,"X")&gt;0,", ","")&amp;"Moutarde","")&amp;IF(O53="X",IF(COUNTIF($E53:$N53,"X")&gt;0,", ","")&amp;"Sésame","")&amp;IF(P53="X",IF(COUNTIF($E53:$O53,"X")&gt;0,", ","")&amp;"Sulfites","")&amp;IF(Q53="X",IF(COUNTIF($E53:$P53,"X")&gt;0,", ","")&amp;"Lupin","")&amp;IF(R53="X",IF(COUNTIF($E53:$Q53,"X")&gt;0,", ","")&amp;"Mollusques","")),"")</f>
        <v>Œufs, Fruits à coque</v>
      </c>
      <c r="E53" s="233" t="str">
        <f>IF(53=53,IF($B53="","",IF(OR(ISNUMBER(SEARCH(" biere sans gluten ",$AA53)),ISNUMBER(SEARCH(" gluten free beer ",$AA53)),ISNUMBER(SEARCH(" beer gluten free ",$AA53))),"",IF(AF53="X","X",IF(OR(AF53="?",OR(ISNUMBER(SEARCH(" worcestershire ",$AA53)),ISNUMBER(SEARCH(" bloody mary ",$AA53)))),"?","")))),"")</f>
        <v/>
      </c>
      <c r="F53" s="233" t="str">
        <f>IF(53=53,IF($B53="","",AI53),"")</f>
        <v/>
      </c>
      <c r="G53" s="233" t="str">
        <f>IF(53=53,IF($B53="","",IF(OR(TRIM($AA53)="puree pate d amande",TRIM($AA53)="pate puree d amande",TRIM($AA53)="puree d amande",TRIM($AA53)="pate d amande",TRIM($AA53)="pate puree de noisette",TRIM($AA53)="puree pate de noisette",TRIM($AA53)="puree de noisette",TRIM($AA53)="pate de noisette"),"",IF(OR(AM53="X",OR(ISNUMBER(SEARCH(" macaron ",$AA53)),ISNUMBER(SEARCH(" egg nog ",$AA53)),ISNUMBER(SEARCH(" eggnog ",$AA53)))),"X",IF(OR(AM53="?",OR(ISNUMBER(SEARCH(" biscuit decoratif ",$AA53)),ISNUMBER(SEARCH(" whisky sour ",$AA53)),ISNUMBER(SEARCH(" whiskey sour ",$AA53)),ISNUMBER(SEARCH(" amaretto sour ",$AA53)),ISNUMBER(SEARCH(" pisco sour ",$AA53)),ISNUMBER(SEARCH(" clover club ",$AA53)),ISNUMBER(SEARCH(" ramos gin fizz ",$AA53)))),"?","")))),"")</f>
        <v>X</v>
      </c>
      <c r="H53" s="233" t="str">
        <f>IF(53=53,IF($B53="","",IF(ISNUMBER(SEARCH(" colin ",$AA53)),"X",IF(AZ53="X","X",IF(OR(AZ53="?",OR(ISNUMBER(SEARCH(" worcestershire ",$AA53)),ISNUMBER(SEARCH(" bloody mary ",$AA53)))),"?","")))),"")</f>
        <v/>
      </c>
      <c r="I53" s="233" t="str">
        <f>IF(53=53,IF($B53="","",BB53),"")</f>
        <v/>
      </c>
      <c r="J53" s="233" t="str">
        <f>IF(53=53,IF($B53="","",BF53),"")</f>
        <v/>
      </c>
      <c r="K53" s="233" t="str">
        <f>IF(53=53,IF($B53="","",IF(OR(OR(TRIM($AA53)="puree pate d amande",TRIM($AA53)="pate puree d amande",TRIM($AA53)="puree d amande",TRIM($AA53)="pate d amande",TRIM($AA53)="pate puree de noisette",TRIM($AA53)="puree pate de noisette",TRIM($AA53)="puree de noisette",TRIM($AA53)="pate de noisette"),OR(TRIM($AA53)="beurre puree d arachide",TRIM($AA53)="beurre d arachide",TRIM($AA53)="puree d arachide"),OR(TRIM($AA53)="tahini puree de sesame",TRIM($AA53)="tahini",TRIM($AA53)="puree de sesame")),"",IF(OR(TRIM($AA53)="creme de cassis",TRIM($AA53)="creme de menthe",TRIM($AA53)="creme de cacao",TRIM($AA53)="creme de mure",TRIM($AA53)="creme de framboise",TRIM($AA53)="creme de peche",TRIM($AA53)="creme de banane",TRIM($AA53)="liqueur creme de coco",TRIM($AA53)="creme de coco",TRIM($AA53)="spiritueux aromatise arrange creme de spiritueux"),"?",IF(OR(BM53="X",OR(ISNUMBER(SEARCH(" baileys ",$AA53)),ISNUMBER(SEARCH(" irish cream ",$AA53)),ISNUMBER(SEARCH(" creme de whisky ",$AA53)))),"X",IF(OR(BM53="?",OR(OR(TRIM($AA53)="creme de cassis",TRIM($AA53)="creme de menthe",TRIM($AA53)="creme de cacao",TRIM($AA53)="creme de mure",TRIM($AA53)="creme de framboise",TRIM($AA53)="creme de peche",TRIM($AA53)="creme de banane",TRIM($AA53)="liqueur creme de coco",TRIM($AA53)="creme de coco",TRIM($AA53)="spiritueux aromatise arrange creme de spiritueux"),ISNUMBER(SEARCH(" advocaat ",$AA53)),ISNUMBER(SEARCH(" liqueur aux oeufs ",$AA53)),ISNUMBER(SEARCH(" liqueur de chocolat ",$AA53)),ISNUMBER(SEARCH(" liqueur de caramel ",$AA53)),ISNUMBER(SEARCH(" sauce nappage chocolat ",$AA53)),ISNUMBER(SEARCH(" biscuit decoratif ",$AA53)),ISNUMBER(SEARCH(" white russian ",$AA53)),ISNUMBER(SEARCH(" grasshopper ",$AA53)),ISNUMBER(SEARCH(" irish coffee ",$AA53)),ISNUMBER(SEARCH(" ramos gin fizz ",$AA53)),ISNUMBER(SEARCH(" egg nog ",$AA53)),ISNUMBER(SEARCH(" eggnog ",$AA53)))),"?",""))))),"")</f>
        <v/>
      </c>
      <c r="L53" s="233" t="str">
        <f>IF(53=53,IF($B53="","",IF(OR(BQ53="X",OR(OR(TRIM($AA53)="puree pate d amande",TRIM($AA53)="pate puree d amande",TRIM($AA53)="puree d amande",TRIM($AA53)="pate d amande",TRIM($AA53)="pate puree de noisette",TRIM($AA53)="puree pate de noisette",TRIM($AA53)="puree de noisette",TRIM($AA53)="pate de noisette"),ISNUMBER(SEARCH(" macaron ",$AA53)),TRIM($AA53)="fruits a coque")),"X",IF(OR(BQ53="?",OR(ISNUMBER(SEARCH(" sirop d orgeat ",$AA53)),ISNUMBER(SEARCH(" orgeat ",$AA53)),ISNUMBER(SEARCH(" amaretto ",$AA53)))),"?",""))),"")</f>
        <v>X</v>
      </c>
      <c r="M53" s="233" t="str">
        <f>IF(53=53,IF($B53="","",IF(OR(OR(TRIM($AA53)="puree pate d amande",TRIM($AA53)="pate puree d amande",TRIM($AA53)="puree d amande",TRIM($AA53)="pate d amande",TRIM($AA53)="pate puree de noisette",TRIM($AA53)="puree pate de noisette",TRIM($AA53)="puree de noisette",TRIM($AA53)="pate de noisette"),OR(TRIM($AA53)="tahini puree de sesame",TRIM($AA53)="tahini",TRIM($AA53)="puree de sesame")),"",IF(BT53="X","X",IF(OR(BT53="?",ISNUMBER(SEARCH(" bloody mary ",$AA53))),"?","")))),"")</f>
        <v/>
      </c>
      <c r="N53" s="233" t="str">
        <f>IF(53=53,IF($B53="","",IF(OR(OR(TRIM($AA53)="puree pate d amande",TRIM($AA53)="pate puree d amande",TRIM($AA53)="puree d amande",TRIM($AA53)="pate d amande",TRIM($AA53)="pate puree de noisette",TRIM($AA53)="puree pate de noisette",TRIM($AA53)="puree de noisette",TRIM($AA53)="pate de noisette"),OR(TRIM($AA53)="tahini puree de sesame",TRIM($AA53)="tahini",TRIM($AA53)="puree de sesame")),"",IF(BW53="X","X",IF(OR(BW53="?",ISNUMBER(SEARCH(" bloody mary ",$AA53))),"?","")))),"")</f>
        <v/>
      </c>
      <c r="O53" s="233" t="str">
        <f>IF(53=53,IF($B53="","",BZ53),"")</f>
        <v/>
      </c>
      <c r="P53" s="233" t="str">
        <f>IF(53=53,IF($B53="","",CC53),"")</f>
        <v/>
      </c>
      <c r="Q53" s="233" t="str">
        <f>IF(53=53,IF($B53="","",CF53),"")</f>
        <v/>
      </c>
      <c r="R53" s="233" t="str">
        <f>IF(53=53,IF($B53="","",IF(TRIM($AA53)="fruits a coque","",IF(CL53="X","X",IF(OR(CL53="?",OR(ISNUMBER(SEARCH(" clamato ",$AA53)),ISNUMBER(SEARCH(" bloody caesar ",$AA53)))),"?","")))),"")</f>
        <v/>
      </c>
      <c r="S53" s="234" t="str">
        <f>IF(53=53,IF($B53="","",IF(E53="?",""&amp;"Céréales contenant du gluten","")&amp;IF(F53="?",IF(COUNTIF($E53:$E53,"~?")&gt;0,", ","")&amp;"Crustacés","")&amp;IF(G53="?",IF(COUNTIF($E53:$F53,"~?")&gt;0,", ","")&amp;"Œufs","")&amp;IF(H53="?",IF(COUNTIF($E53:$G53,"~?")&gt;0,", ","")&amp;"Poissons","")&amp;IF(I53="?",IF(COUNTIF($E53:$H53,"~?")&gt;0,", ","")&amp;"Arachides","")&amp;IF(J53="?",IF(COUNTIF($E53:$I53,"~?")&gt;0,", ","")&amp;"Soja","")&amp;IF(K53="?",IF(COUNTIF($E53:$J53,"~?")&gt;0,", ","")&amp;"Lait","")&amp;IF(L53="?",IF(COUNTIF($E53:$K53,"~?")&gt;0,", ","")&amp;"Fruits à coque","")&amp;IF(M53="?",IF(COUNTIF($E53:$L53,"~?")&gt;0,", ","")&amp;"Céleri","")&amp;IF(N53="?",IF(COUNTIF($E53:$M53,"~?")&gt;0,", ","")&amp;"Moutarde","")&amp;IF(O53="?",IF(COUNTIF($E53:$N53,"~?")&gt;0,", ","")&amp;"Sésame","")&amp;IF(P53="?",IF(COUNTIF($E53:$O53,"~?")&gt;0,", ","")&amp;"Sulfites","")&amp;IF(Q53="?",IF(COUNTIF($E53:$P53,"~?")&gt;0,", ","")&amp;"Lupin","")&amp;IF(R53="?",IF(COUNTIF($E53:$Q53,"~?")&gt;0,", ","")&amp;"Mollusques","")),"")</f>
        <v/>
      </c>
      <c r="U53" s="209" t="str">
        <f>IF(53=53,IF($B53="","",$B53),"")</f>
        <v>Macaron décoratif</v>
      </c>
      <c r="V53" s="209" t="str">
        <f>IF(53=53,LOWER(CLEAN(SUBSTITUTE(SUBSTITUTE(SUBSTITUTE(SUBSTITUTE($U53,CHAR(160)," ")," "," "),CHAR(10)," "),CHAR(13)," "))),"")</f>
        <v>macaron décoratif</v>
      </c>
      <c r="W53" s="209" t="str">
        <f>IF(53=53,SUBSTITUTE(SUBSTITUTE(SUBSTITUTE(SUBSTITUTE(SUBSTITUTE(SUBSTITUTE(SUBSTITUTE(SUBSTITUTE(SUBSTITUTE(SUBSTITUTE(SUBSTITUTE(SUBSTITUTE($V53,"œ","oe"),"æ","ae"),"à","a"),"á","a"),"â","a"),"ä","a"),"ã","a"),"ç","c"),"è","e"),"é","e"),"ê","e"),"ë","e"),"")</f>
        <v>macaron decoratif</v>
      </c>
      <c r="X53" s="209" t="str">
        <f>IF(53=53,SUBSTITUTE(SUBSTITUTE(SUBSTITUTE(SUBSTITUTE(SUBSTITUTE(SUBSTITUTE(SUBSTITUTE(SUBSTITUTE(SUBSTITUTE(SUBSTITUTE(SUBSTITUTE(SUBSTITUTE(SUBSTITUTE(SUBSTITUTE(SUBSTITUTE(SUBSTITUTE($W53,"ì","i"),"í","i"),"î","i"),"ï","i"),"ñ","n"),"ò","o"),"ó","o"),"ô","o"),"ö","o"),"õ","o"),"ù","u"),"ú","u"),"û","u"),"ü","u"),"ý","y"),"ÿ","y"),"")</f>
        <v>macaron decoratif</v>
      </c>
      <c r="Y53" s="209" t="str">
        <f>IF(53=53,SUBSTITUTE(SUBSTITUTE(SUBSTITUTE(SUBSTITUTE(SUBSTITUTE(SUBSTITUTE(SUBSTITUTE(SUBSTITUTE(SUBSTITUTE(SUBSTITUTE(SUBSTITUTE(SUBSTITUTE(SUBSTITUTE(SUBSTITUTE($X53,"’"," "),"`"," "),"–"," "),"—"," "),"-"," "),"'"," "),"/"," "),"_"," "),","," "),"."," "),"("," "),")"," "),";"," "),":"," "),"")</f>
        <v>macaron decoratif</v>
      </c>
      <c r="Z53" s="209" t="str">
        <f>IF(53=53,SUBSTITUTE(SUBSTITUTE(SUBSTITUTE(SUBSTITUTE(SUBSTITUTE(SUBSTITUTE(SUBSTITUTE(SUBSTITUTE(SUBSTITUTE(SUBSTITUTE(SUBSTITUTE(SUBSTITUTE(SUBSTITUTE(SUBSTITUTE(SUBSTITUTE($Y53,"!"," "),"?"," "),"+"," "),"*"," "),"&amp;"," "),"["," "),"]"," "),"{"," "),"}"," "),"%"," "),"="," "),"\"," "),"|"," "),"&lt;"," "),"&gt;"," "),"")</f>
        <v>macaron decoratif</v>
      </c>
      <c r="AA53" s="209" t="str">
        <f>IF(53=53," "&amp;TRIM(SUBSTITUTE(SUBSTITUTE(SUBSTITUTE(SUBSTITUTE(SUBSTITUTE(SUBSTITUTE($Z53,CHAR(34)," "),"  "," "),"  "," "),"  "," "),"  "," "),"  "," "))&amp;" ","")</f>
        <v xml:space="preserve"> macaron decoratif </v>
      </c>
      <c r="AB53" s="209">
        <f>IF(53=53,IF($U53="","",SUMPRODUCT(--ISNUMBER(SEARCH(" "&amp;$CR$2:$CR$101&amp;" ",$AD53)))),"")</f>
        <v>0</v>
      </c>
      <c r="AC53" s="209">
        <f>IF(53=53,IF($U53="","",SUMPRODUCT(--ISNUMBER(SEARCH(" "&amp;$CR$102:$CR$151&amp;" ",$AD53)))),"")</f>
        <v>0</v>
      </c>
      <c r="AD53" s="209" t="str">
        <f t="shared" si="1"/>
        <v xml:space="preserve"> macaron decoratif </v>
      </c>
      <c r="AE53" s="209">
        <f t="shared" si="2"/>
        <v>0</v>
      </c>
      <c r="AF53" s="209" t="str">
        <f>IF(53=53,IF($U53="","",IF(SUM(AB53:AC53)+SUMPRODUCT(--ISNUMBER(SEARCH(" "&amp;$CR$2418:$CR$2420&amp;" ",$AD53)))&gt;0,"X",IF(AE53&gt;0,"?",""))),"")</f>
        <v/>
      </c>
      <c r="AG53" s="209">
        <f>IF(53=53,IF($U53="","",SUMPRODUCT(--ISNUMBER(SEARCH(" "&amp;$CR$206:$CR$305&amp;" ",$AA53)))),"")</f>
        <v>0</v>
      </c>
      <c r="AH53" s="209">
        <f>IF(53=53,IF($U53="","",SUMPRODUCT(--ISNUMBER(SEARCH(" "&amp;$CR$306:$CR$340&amp;" ",$AA53)))),"")</f>
        <v>0</v>
      </c>
      <c r="AI53" s="209" t="str">
        <f>IF(53=53,IF($U53="","",IF((SUM(AG53:AH53))-(0)&gt;0,"X",IF((0)-(0)&gt;0,"?",""))),"")</f>
        <v/>
      </c>
      <c r="AJ53" s="209">
        <f>IF(53=53,IF($U53="","",SUMPRODUCT(--ISNUMBER(SEARCH(" "&amp;$CR$341:$CR$398&amp;" ",$AA53)))),"")</f>
        <v>0</v>
      </c>
      <c r="AK53" s="209">
        <f>IF(53=53,IF($U53="","",SUMPRODUCT(--ISNUMBER(SEARCH(" "&amp;$CR$399:$CR$426&amp;" ",$AL53)))+SUMPRODUCT(--ISNUMBER(SEARCH(" "&amp;$CR$2440:$CR$2453&amp;" ",$AL53)))),"")</f>
        <v>0</v>
      </c>
      <c r="AL53" s="209" t="str">
        <f>IF(53=53,IF($U53="","",SUBSTITUTE(SUBSTITUTE(SUBSTITUTE(SUBSTITUTE(SUBSTITUTE(SUBSTITUTE(SUBSTITUTE(SUBSTITUTE(SUBSTITUTE(SUBSTITUTE(SUBSTITUTE(SUBSTITUTE(SUBSTITUTE(SUBSTITUTE($AA53,"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macaron decoratif </v>
      </c>
      <c r="AM53" s="209" t="str">
        <f>IF(53=53,IF($U53="","",IF(AJ53&gt;0,"X",IF(AK53&gt;0,"?",""))),"")</f>
        <v/>
      </c>
      <c r="AN53" s="209">
        <f>IF(53=53,IF($U53="","",SUMPRODUCT(--ISNUMBER(SEARCH(" "&amp;$CR$436:$CR$535&amp;" ",$AX53)))),"")</f>
        <v>0</v>
      </c>
      <c r="AO53" s="209">
        <f>IF(53=53,IF($U53="","",SUMPRODUCT(--ISNUMBER(SEARCH(" "&amp;$CR$536:$CR$635&amp;" ",$AX53)))),"")</f>
        <v>0</v>
      </c>
      <c r="AP53" s="209">
        <f>IF(53=53,IF($U53="","",SUMPRODUCT(--ISNUMBER(SEARCH(" "&amp;$CR$636:$CR$735&amp;" ",$AX53)))),"")</f>
        <v>0</v>
      </c>
      <c r="AQ53" s="209">
        <f>IF(53=53,IF($U53="","",SUMPRODUCT(--ISNUMBER(SEARCH(" "&amp;$CR$736:$CR$835&amp;" ",$AX53)))),"")</f>
        <v>0</v>
      </c>
      <c r="AR53" s="209">
        <f>IF(53=53,IF($U53="","",SUMPRODUCT(--ISNUMBER(SEARCH(" "&amp;$CR$836:$CR$935&amp;" ",$AX53)))),"")</f>
        <v>0</v>
      </c>
      <c r="AS53" s="209">
        <f>IF(53=53,IF($U53="","",SUMPRODUCT(--ISNUMBER(SEARCH(" "&amp;$CR$936:$CR$1035&amp;" ",$AX53)))),"")</f>
        <v>0</v>
      </c>
      <c r="AT53" s="209">
        <f>IF(53=53,IF($U53="","",SUMPRODUCT(--ISNUMBER(SEARCH(" "&amp;$CR$1036:$CR$1135&amp;" ",$AX53)))),"")</f>
        <v>0</v>
      </c>
      <c r="AU53" s="209">
        <f>IF(53=53,IF($U53="","",SUMPRODUCT(--ISNUMBER(SEARCH(" "&amp;$CR$1136:$CR$1235&amp;" ",$AX53)))),"")</f>
        <v>0</v>
      </c>
      <c r="AV53" s="209">
        <f>IF(53=53,IF($U53="","",SUMPRODUCT(--ISNUMBER(SEARCH(" "&amp;$CR$1236:$CR$1335&amp;" ",$AX53)))),"")</f>
        <v>0</v>
      </c>
      <c r="AW53" s="209">
        <f>IF(53=53,IF($U53="","",SUMPRODUCT(--ISNUMBER(SEARCH(" "&amp;$CR$1336:$CR$1363&amp;" ",$AX53)))),"")</f>
        <v>0</v>
      </c>
      <c r="AX53" s="209" t="str">
        <f>IF(53=53,IF($U53="","",SUBSTITUTE(SUBSTITUTE(SUBSTITUTE(SUBSTITUTE(SUBSTITUTE(SUBSTITUTE(SUBSTITUTE(SUBSTITUTE(SUBSTITUTE($AA53,"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macaron decoratif </v>
      </c>
      <c r="AY53" s="209">
        <f>IF(53=53,IF($U53="","",SUMPRODUCT(--ISNUMBER(SEARCH(" "&amp;$CR$1373:$CR$1383&amp;" ",$AX53)))),"")</f>
        <v>0</v>
      </c>
      <c r="AZ53" s="209" t="str">
        <f>IF(53=53,IF($U53="","",IF(SUM(AN53:AW53)+SUMPRODUCT(--ISNUMBER(SEARCH(" "&amp;$CR$2421:$CR$2422&amp;" ",$AX53)))&gt;0,"X",IF(AY53&gt;0,"?",""))),"")</f>
        <v/>
      </c>
      <c r="BA53" s="209">
        <f>IF(53=53,IF($U53="","",SUMPRODUCT(--ISNUMBER(SEARCH(" "&amp;$CR$1384:$CR$1404&amp;" ",$AA53)))),"")</f>
        <v>0</v>
      </c>
      <c r="BB53" s="209" t="str">
        <f>IF(53=53,IF($U53="","",IF((BA53)-(0)&gt;0,"X",IF((0)-(0)&gt;0,"?",""))),"")</f>
        <v/>
      </c>
      <c r="BC53" s="209">
        <f>IF(53=53,IF($U53="","",SUMPRODUCT(--ISNUMBER(SEARCH(" "&amp;$CR$1405:$CR$1442&amp;" ",$BD53)))),"")</f>
        <v>0</v>
      </c>
      <c r="BD53" s="209" t="str">
        <f>IF(53=53,IF($U53="","",SUBSTITUTE(SUBSTITUTE($AA53," "&amp;$CR$1443&amp;" "," ")," "&amp;$CR$1444&amp;" "," ")),"")</f>
        <v xml:space="preserve"> macaron decoratif </v>
      </c>
      <c r="BE53" s="209">
        <f>IF(53=53,IF($U53="","",SUMPRODUCT(--ISNUMBER(SEARCH(" "&amp;$CR$1445:$CR$1455&amp;" ",$BD53)))),"")</f>
        <v>0</v>
      </c>
      <c r="BF53" s="209" t="str">
        <f>IF(53=53,IF($U53="","",IF(BC53&gt;0,"X",IF(BE53&gt;0,"?",""))),"")</f>
        <v/>
      </c>
      <c r="BG53" s="209">
        <f>IF(53=53,IF($U53="","",SUMPRODUCT(--ISNUMBER(SEARCH(" "&amp;$CR$1456:$CR$1555&amp;" ",$BJ53)))),"")</f>
        <v>0</v>
      </c>
      <c r="BH53" s="209">
        <f>IF(53=53,IF($U53="","",SUMPRODUCT(--ISNUMBER(SEARCH(" "&amp;$CR$1556:$CR$1655&amp;" ",$BJ53)))),"")</f>
        <v>0</v>
      </c>
      <c r="BI53" s="209">
        <f>IF(53=53,IF($U53="","",SUMPRODUCT(--ISNUMBER(SEARCH(" "&amp;$CR$1656:$CR$1739&amp;" ",$BJ53)))),"")</f>
        <v>0</v>
      </c>
      <c r="BJ53" s="209" t="str">
        <f>IF(53=53,IF($U53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53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macaron decoratif </v>
      </c>
      <c r="BK53" s="209">
        <f>IF(53=53,IF($U53="","",SUMPRODUCT(--ISNUMBER(SEARCH(" "&amp;$CR$1790:$CR$1869&amp;" ",$BL53)))+SUMPRODUCT(--ISNUMBER(SEARCH(" "&amp;$CR$2440:$CR$2453&amp;" ",$BL53)))),"")</f>
        <v>0</v>
      </c>
      <c r="BL53" s="209" t="str">
        <f>IF(53=53,IF($U53="","",SUBSTITUTE(SUBSTITUTE(SUBSTITUTE(SUBSTITUTE(SUBSTITUTE(SUBSTITUTE(SUBSTITUTE(SUBSTITUTE(SUBSTITUTE(SUBSTITUTE(SUBSTITUTE(SUBSTITUTE(SUBSTITUTE($BJ53,"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macaron decoratif </v>
      </c>
      <c r="BM53" s="209" t="str">
        <f>IF(53=53,IF($U53="","",IF(SUM(BG53:BI53)+SUMPRODUCT(--ISNUMBER(SEARCH(" "&amp;$CR$2423:$CR$2424&amp;" ",$BJ53)))&gt;0,"X",IF(BK53&gt;0,"?",""))),"")</f>
        <v/>
      </c>
      <c r="BN53" s="209">
        <f>IF(53=53,IF($U53="","",SUMPRODUCT(--ISNUMBER(SEARCH(" "&amp;$CR$1879:$CR$1936&amp;" ",$BO53)))),"")</f>
        <v>0</v>
      </c>
      <c r="BO53" s="209" t="str">
        <f>IF(53=53,IF($U53="","",SUBSTITUTE(SUBSTITUTE(SUBSTITUTE(SUBSTITUTE(SUBSTITUTE(SUBSTITUTE(SUBSTITUTE(SUBSTITUTE(SUBSTITUTE(SUBSTITUTE(SUBSTITUTE(SUBSTITUTE(SUBSTITUTE(SUBSTITUTE(SUBSTITUTE(SUBSTITUTE(SUBSTITUTE(SUBSTITUTE(SUBSTITUTE(SUBSTITUTE(SUBSTITUTE(SUBSTITUTE(SUBSTITUTE($AA53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macaron decoratif </v>
      </c>
      <c r="BP53" s="209">
        <f>IF(53=53,IF($U53="","",SUMPRODUCT(--ISNUMBER(SEARCH(" "&amp;$CR$1960:$CR$1976&amp;" ",$BO53)))),"")</f>
        <v>1</v>
      </c>
      <c r="BQ53" s="209" t="str">
        <f>IF(53=53,IF($U53="","",IF(BN53&gt;0,"X",IF(BP53&gt;0,"?",""))),"")</f>
        <v>?</v>
      </c>
      <c r="BR53" s="209">
        <f>IF(53=53,IF($U53="","",SUMPRODUCT(--ISNUMBER(SEARCH(" "&amp;$CR$1977:$CR$1990&amp;" ",$AA53)))),"")</f>
        <v>0</v>
      </c>
      <c r="BS53" s="209">
        <f>IF(53=53,IF($U53="","",SUMPRODUCT(--ISNUMBER(SEARCH(" "&amp;$CR$1991:$CR$2005&amp;" ",$AA53)))),"")</f>
        <v>0</v>
      </c>
      <c r="BT53" s="209" t="str">
        <f>IF(53=53,IF($U53="","",IF((BR53)-(0)&gt;0,"X",IF((BS53)-(0)&gt;0,"?",""))),"")</f>
        <v/>
      </c>
      <c r="BU53" s="209">
        <f>IF(53=53,IF($U53="","",SUMPRODUCT(--ISNUMBER(SEARCH(" "&amp;$CR$2006:$CR$2023&amp;" ",$AA53)))),"")</f>
        <v>0</v>
      </c>
      <c r="BV53" s="209">
        <f>IF(53=53,IF($U53="","",SUMPRODUCT(--ISNUMBER(SEARCH(" "&amp;$CR$2024:$CR$2038&amp;" ",$AA53)))),"")</f>
        <v>0</v>
      </c>
      <c r="BW53" s="209" t="str">
        <f>IF(53=53,IF($U53="","",IF((BU53)-(0)&gt;0,"X",IF((BV53)-(0)&gt;0,"?",""))),"")</f>
        <v/>
      </c>
      <c r="BX53" s="209">
        <f>IF(53=53,IF($U53="","",SUMPRODUCT(--ISNUMBER(SEARCH(" "&amp;$CR$2039:$CR$2057&amp;" ",$AA53)))),"")</f>
        <v>0</v>
      </c>
      <c r="BY53" s="209">
        <f>IF(53=53,IF($U53="","",SUMPRODUCT(--ISNUMBER(SEARCH(" "&amp;$CR$2058:$CR$2072&amp;" ",$AA53)))),"")</f>
        <v>0</v>
      </c>
      <c r="BZ53" s="209" t="str">
        <f>IF(53=53,IF($U53="","",IF((BX53)-(0)&gt;0,"X",IF((BY53)-(0)&gt;0,"?",""))),"")</f>
        <v/>
      </c>
      <c r="CA53" s="209">
        <f>IF(53=53,IF($U53="","",SUMPRODUCT(--ISNUMBER(SEARCH(" "&amp;$CR$2073:$CR$2093&amp;" ",$AA53)))),"")</f>
        <v>0</v>
      </c>
      <c r="CB53" s="209">
        <f>IF(53=53,IF($U53="","",SUMPRODUCT(--ISNUMBER(SEARCH(" "&amp;$CR$2094:$CR$2133&amp;" ",SUBSTITUTE(SUBSTITUTE($AA53," "&amp;$CR$1367&amp;" "," ")," "&amp;$CR$1366&amp;" "," "))))+--ISNUMBER(SEARCH("poiré",$V53))),"")</f>
        <v>0</v>
      </c>
      <c r="CC53" s="209" t="str">
        <f>IF(53=53,IF($U53="","",IF(OR(CA53&gt;0,ISNUMBER(SEARCH(" vinaigre de vin ",$AA53)),ISNUMBER(SEARCH(" vinaigre au vin ",$AA53))),"X",IF(CB53&gt;0,"?",""))),"")</f>
        <v/>
      </c>
      <c r="CD53" s="209">
        <f>IF(53=53,IF($U53="","",SUMPRODUCT(--ISNUMBER(SEARCH(" "&amp;$CR$2134:$CR$2146&amp;" ",$AA53)))),"")</f>
        <v>0</v>
      </c>
      <c r="CE53" s="209">
        <f>IF(53=53,IF($U53="","",SUMPRODUCT(--ISNUMBER(SEARCH(" "&amp;$CR$2147:$CR$2152&amp;" ",$AA53)))),"")</f>
        <v>0</v>
      </c>
      <c r="CF53" s="209" t="str">
        <f>IF(53=53,IF($U53="","",IF((CD53)-(0)&gt;0,"X",IF((CE53)-(0)&gt;0,"?",""))),"")</f>
        <v/>
      </c>
      <c r="CG53" s="209">
        <f>IF(53=53,IF($U53="","",SUMPRODUCT(--ISNUMBER(SEARCH(" "&amp;$CR$2153:$CR$2252&amp;" ",$CJ53)))),"")</f>
        <v>0</v>
      </c>
      <c r="CH53" s="209">
        <f>IF(53=53,IF($U53="","",SUMPRODUCT(--ISNUMBER(SEARCH(" "&amp;$CR$2253:$CR$2352&amp;" ",$CJ53)))),"")</f>
        <v>0</v>
      </c>
      <c r="CI53" s="209">
        <f>IF(53=53,IF($U53="","",SUMPRODUCT(--ISNUMBER(SEARCH(" "&amp;$CR$2353:$CR$2395&amp;" ",$CJ53)))),"")</f>
        <v>0</v>
      </c>
      <c r="CJ53" s="209" t="str">
        <f>IF(53=53,IF($U53="","",SUBSTITUTE(SUBSTITUTE(SUBSTITUTE(SUBSTITUTE(SUBSTITUTE(SUBSTITUTE(SUBSTITUTE(SUBSTITUTE(SUBSTITUTE(SUBSTITUTE(SUBSTITUTE(SUBSTITUTE(SUBSTITUTE(SUBSTITUTE(SUBSTITUTE(SUBSTITUTE($AA53,"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macaron decoratif </v>
      </c>
      <c r="CK53" s="209">
        <f>IF(53=53,IF($U53="","",SUMPRODUCT(--ISNUMBER(SEARCH(" "&amp;$CR$2412:$CR$2416&amp;" ",$CJ53)))),"")</f>
        <v>0</v>
      </c>
      <c r="CL53" s="209" t="str">
        <f>IF(53=53,IF($U53="","",IF(SUM(CG53:CI53)&gt;0,"X",IF(CK53&gt;0,"?",""))),"")</f>
        <v/>
      </c>
      <c r="CM53" s="210"/>
      <c r="CN53" s="213" t="s">
        <v>1086</v>
      </c>
      <c r="CO53" s="213" t="s">
        <v>878</v>
      </c>
      <c r="CP53" s="213" t="s">
        <v>879</v>
      </c>
      <c r="CQ53" s="213" t="s">
        <v>1087</v>
      </c>
      <c r="CR53" s="213" t="s">
        <v>1087</v>
      </c>
      <c r="CS53" s="213" t="s">
        <v>881</v>
      </c>
      <c r="CT53" s="213" t="s">
        <v>882</v>
      </c>
      <c r="CU53" s="213" t="s">
        <v>883</v>
      </c>
      <c r="CV53" s="214" t="s">
        <v>884</v>
      </c>
      <c r="CX53" s="212">
        <v>1</v>
      </c>
    </row>
    <row r="54" spans="1:102" ht="21" customHeight="1">
      <c r="A54" s="229">
        <v>48</v>
      </c>
      <c r="B54" s="230" t="s">
        <v>6652</v>
      </c>
      <c r="C54" s="231" t="str">
        <f t="shared" si="0"/>
        <v>Confiserie / bonbon / marshmallow</v>
      </c>
      <c r="D54" s="232" t="str">
        <f>IF(54=54,IF($B54="","",IF(E54="X",""&amp;"Céréales contenant du gluten","")&amp;IF(F54="X",IF(COUNTIF($E54:$E54,"X")&gt;0,", ","")&amp;"Crustacés","")&amp;IF(G54="X",IF(COUNTIF($E54:$F54,"X")&gt;0,", ","")&amp;"Œufs","")&amp;IF(H54="X",IF(COUNTIF($E54:$G54,"X")&gt;0,", ","")&amp;"Poissons","")&amp;IF(I54="X",IF(COUNTIF($E54:$H54,"X")&gt;0,", ","")&amp;"Arachides","")&amp;IF(J54="X",IF(COUNTIF($E54:$I54,"X")&gt;0,", ","")&amp;"Soja","")&amp;IF(K54="X",IF(COUNTIF($E54:$J54,"X")&gt;0,", ","")&amp;"Lait","")&amp;IF(L54="X",IF(COUNTIF($E54:$K54,"X")&gt;0,", ","")&amp;"Fruits à coque","")&amp;IF(M54="X",IF(COUNTIF($E54:$L54,"X")&gt;0,", ","")&amp;"Céleri","")&amp;IF(N54="X",IF(COUNTIF($E54:$M54,"X")&gt;0,", ","")&amp;"Moutarde","")&amp;IF(O54="X",IF(COUNTIF($E54:$N54,"X")&gt;0,", ","")&amp;"Sésame","")&amp;IF(P54="X",IF(COUNTIF($E54:$O54,"X")&gt;0,", ","")&amp;"Sulfites","")&amp;IF(Q54="X",IF(COUNTIF($E54:$P54,"X")&gt;0,", ","")&amp;"Lupin","")&amp;IF(R54="X",IF(COUNTIF($E54:$Q54,"X")&gt;0,", ","")&amp;"Mollusques","")),"")</f>
        <v/>
      </c>
      <c r="E54" s="233" t="str">
        <f>IF(54=54,IF($B54="","",IF(OR(ISNUMBER(SEARCH(" biere sans gluten ",$AA54)),ISNUMBER(SEARCH(" gluten free beer ",$AA54)),ISNUMBER(SEARCH(" beer gluten free ",$AA54))),"",IF(AF54="X","X",IF(OR(AF54="?",OR(ISNUMBER(SEARCH(" worcestershire ",$AA54)),ISNUMBER(SEARCH(" bloody mary ",$AA54)))),"?","")))),"")</f>
        <v/>
      </c>
      <c r="F54" s="233" t="str">
        <f>IF(54=54,IF($B54="","",AI54),"")</f>
        <v/>
      </c>
      <c r="G54" s="233" t="str">
        <f>IF(54=54,IF($B54="","",IF(OR(TRIM($AA54)="puree pate d amande",TRIM($AA54)="pate puree d amande",TRIM($AA54)="puree d amande",TRIM($AA54)="pate d amande",TRIM($AA54)="pate puree de noisette",TRIM($AA54)="puree pate de noisette",TRIM($AA54)="puree de noisette",TRIM($AA54)="pate de noisette"),"",IF(OR(AM54="X",OR(ISNUMBER(SEARCH(" macaron ",$AA54)),ISNUMBER(SEARCH(" egg nog ",$AA54)),ISNUMBER(SEARCH(" eggnog ",$AA54)))),"X",IF(OR(AM54="?",OR(ISNUMBER(SEARCH(" biscuit decoratif ",$AA54)),ISNUMBER(SEARCH(" whisky sour ",$AA54)),ISNUMBER(SEARCH(" whiskey sour ",$AA54)),ISNUMBER(SEARCH(" amaretto sour ",$AA54)),ISNUMBER(SEARCH(" pisco sour ",$AA54)),ISNUMBER(SEARCH(" clover club ",$AA54)),ISNUMBER(SEARCH(" ramos gin fizz ",$AA54)))),"?","")))),"")</f>
        <v/>
      </c>
      <c r="H54" s="233" t="str">
        <f>IF(54=54,IF($B54="","",IF(ISNUMBER(SEARCH(" colin ",$AA54)),"X",IF(AZ54="X","X",IF(OR(AZ54="?",OR(ISNUMBER(SEARCH(" worcestershire ",$AA54)),ISNUMBER(SEARCH(" bloody mary ",$AA54)))),"?","")))),"")</f>
        <v/>
      </c>
      <c r="I54" s="233" t="str">
        <f>IF(54=54,IF($B54="","",BB54),"")</f>
        <v/>
      </c>
      <c r="J54" s="233" t="str">
        <f>IF(54=54,IF($B54="","",BF54),"")</f>
        <v/>
      </c>
      <c r="K54" s="233" t="str">
        <f>IF(54=54,IF($B54="","",IF(OR(OR(TRIM($AA54)="puree pate d amande",TRIM($AA54)="pate puree d amande",TRIM($AA54)="puree d amande",TRIM($AA54)="pate d amande",TRIM($AA54)="pate puree de noisette",TRIM($AA54)="puree pate de noisette",TRIM($AA54)="puree de noisette",TRIM($AA54)="pate de noisette"),OR(TRIM($AA54)="beurre puree d arachide",TRIM($AA54)="beurre d arachide",TRIM($AA54)="puree d arachide"),OR(TRIM($AA54)="tahini puree de sesame",TRIM($AA54)="tahini",TRIM($AA54)="puree de sesame")),"",IF(OR(TRIM($AA54)="creme de cassis",TRIM($AA54)="creme de menthe",TRIM($AA54)="creme de cacao",TRIM($AA54)="creme de mure",TRIM($AA54)="creme de framboise",TRIM($AA54)="creme de peche",TRIM($AA54)="creme de banane",TRIM($AA54)="liqueur creme de coco",TRIM($AA54)="creme de coco",TRIM($AA54)="spiritueux aromatise arrange creme de spiritueux"),"?",IF(OR(BM54="X",OR(ISNUMBER(SEARCH(" baileys ",$AA54)),ISNUMBER(SEARCH(" irish cream ",$AA54)),ISNUMBER(SEARCH(" creme de whisky ",$AA54)))),"X",IF(OR(BM54="?",OR(OR(TRIM($AA54)="creme de cassis",TRIM($AA54)="creme de menthe",TRIM($AA54)="creme de cacao",TRIM($AA54)="creme de mure",TRIM($AA54)="creme de framboise",TRIM($AA54)="creme de peche",TRIM($AA54)="creme de banane",TRIM($AA54)="liqueur creme de coco",TRIM($AA54)="creme de coco",TRIM($AA54)="spiritueux aromatise arrange creme de spiritueux"),ISNUMBER(SEARCH(" advocaat ",$AA54)),ISNUMBER(SEARCH(" liqueur aux oeufs ",$AA54)),ISNUMBER(SEARCH(" liqueur de chocolat ",$AA54)),ISNUMBER(SEARCH(" liqueur de caramel ",$AA54)),ISNUMBER(SEARCH(" sauce nappage chocolat ",$AA54)),ISNUMBER(SEARCH(" biscuit decoratif ",$AA54)),ISNUMBER(SEARCH(" white russian ",$AA54)),ISNUMBER(SEARCH(" grasshopper ",$AA54)),ISNUMBER(SEARCH(" irish coffee ",$AA54)),ISNUMBER(SEARCH(" ramos gin fizz ",$AA54)),ISNUMBER(SEARCH(" egg nog ",$AA54)),ISNUMBER(SEARCH(" eggnog ",$AA54)))),"?",""))))),"")</f>
        <v/>
      </c>
      <c r="L54" s="233" t="str">
        <f>IF(54=54,IF($B54="","",IF(OR(BQ54="X",OR(OR(TRIM($AA54)="puree pate d amande",TRIM($AA54)="pate puree d amande",TRIM($AA54)="puree d amande",TRIM($AA54)="pate d amande",TRIM($AA54)="pate puree de noisette",TRIM($AA54)="puree pate de noisette",TRIM($AA54)="puree de noisette",TRIM($AA54)="pate de noisette"),ISNUMBER(SEARCH(" macaron ",$AA54)),TRIM($AA54)="fruits a coque")),"X",IF(OR(BQ54="?",OR(ISNUMBER(SEARCH(" sirop d orgeat ",$AA54)),ISNUMBER(SEARCH(" orgeat ",$AA54)),ISNUMBER(SEARCH(" amaretto ",$AA54)))),"?",""))),"")</f>
        <v/>
      </c>
      <c r="M54" s="233" t="str">
        <f>IF(54=54,IF($B54="","",IF(OR(OR(TRIM($AA54)="puree pate d amande",TRIM($AA54)="pate puree d amande",TRIM($AA54)="puree d amande",TRIM($AA54)="pate d amande",TRIM($AA54)="pate puree de noisette",TRIM($AA54)="puree pate de noisette",TRIM($AA54)="puree de noisette",TRIM($AA54)="pate de noisette"),OR(TRIM($AA54)="tahini puree de sesame",TRIM($AA54)="tahini",TRIM($AA54)="puree de sesame")),"",IF(BT54="X","X",IF(OR(BT54="?",ISNUMBER(SEARCH(" bloody mary ",$AA54))),"?","")))),"")</f>
        <v/>
      </c>
      <c r="N54" s="233" t="str">
        <f>IF(54=54,IF($B54="","",IF(OR(OR(TRIM($AA54)="puree pate d amande",TRIM($AA54)="pate puree d amande",TRIM($AA54)="puree d amande",TRIM($AA54)="pate d amande",TRIM($AA54)="pate puree de noisette",TRIM($AA54)="puree pate de noisette",TRIM($AA54)="puree de noisette",TRIM($AA54)="pate de noisette"),OR(TRIM($AA54)="tahini puree de sesame",TRIM($AA54)="tahini",TRIM($AA54)="puree de sesame")),"",IF(BW54="X","X",IF(OR(BW54="?",ISNUMBER(SEARCH(" bloody mary ",$AA54))),"?","")))),"")</f>
        <v/>
      </c>
      <c r="O54" s="233" t="str">
        <f>IF(54=54,IF($B54="","",BZ54),"")</f>
        <v/>
      </c>
      <c r="P54" s="233" t="str">
        <f>IF(54=54,IF($B54="","",CC54),"")</f>
        <v/>
      </c>
      <c r="Q54" s="233" t="str">
        <f>IF(54=54,IF($B54="","",CF54),"")</f>
        <v/>
      </c>
      <c r="R54" s="233" t="str">
        <f>IF(54=54,IF($B54="","",IF(TRIM($AA54)="fruits a coque","",IF(CL54="X","X",IF(OR(CL54="?",OR(ISNUMBER(SEARCH(" clamato ",$AA54)),ISNUMBER(SEARCH(" bloody caesar ",$AA54)))),"?","")))),"")</f>
        <v/>
      </c>
      <c r="S54" s="234" t="str">
        <f>IF(54=54,IF($B54="","",IF(E54="?",""&amp;"Céréales contenant du gluten","")&amp;IF(F54="?",IF(COUNTIF($E54:$E54,"~?")&gt;0,", ","")&amp;"Crustacés","")&amp;IF(G54="?",IF(COUNTIF($E54:$F54,"~?")&gt;0,", ","")&amp;"Œufs","")&amp;IF(H54="?",IF(COUNTIF($E54:$G54,"~?")&gt;0,", ","")&amp;"Poissons","")&amp;IF(I54="?",IF(COUNTIF($E54:$H54,"~?")&gt;0,", ","")&amp;"Arachides","")&amp;IF(J54="?",IF(COUNTIF($E54:$I54,"~?")&gt;0,", ","")&amp;"Soja","")&amp;IF(K54="?",IF(COUNTIF($E54:$J54,"~?")&gt;0,", ","")&amp;"Lait","")&amp;IF(L54="?",IF(COUNTIF($E54:$K54,"~?")&gt;0,", ","")&amp;"Fruits à coque","")&amp;IF(M54="?",IF(COUNTIF($E54:$L54,"~?")&gt;0,", ","")&amp;"Céleri","")&amp;IF(N54="?",IF(COUNTIF($E54:$M54,"~?")&gt;0,", ","")&amp;"Moutarde","")&amp;IF(O54="?",IF(COUNTIF($E54:$N54,"~?")&gt;0,", ","")&amp;"Sésame","")&amp;IF(P54="?",IF(COUNTIF($E54:$O54,"~?")&gt;0,", ","")&amp;"Sulfites","")&amp;IF(Q54="?",IF(COUNTIF($E54:$P54,"~?")&gt;0,", ","")&amp;"Lupin","")&amp;IF(R54="?",IF(COUNTIF($E54:$Q54,"~?")&gt;0,", ","")&amp;"Mollusques","")),"")</f>
        <v/>
      </c>
      <c r="U54" s="209" t="str">
        <f>IF(54=54,IF($B54="","",$B54),"")</f>
        <v>Confiserie / bonbon / marshmallow</v>
      </c>
      <c r="V54" s="209" t="str">
        <f>IF(54=54,LOWER(CLEAN(SUBSTITUTE(SUBSTITUTE(SUBSTITUTE(SUBSTITUTE($U54,CHAR(160)," ")," "," "),CHAR(10)," "),CHAR(13)," "))),"")</f>
        <v>confiserie / bonbon / marshmallow</v>
      </c>
      <c r="W54" s="209" t="str">
        <f>IF(54=54,SUBSTITUTE(SUBSTITUTE(SUBSTITUTE(SUBSTITUTE(SUBSTITUTE(SUBSTITUTE(SUBSTITUTE(SUBSTITUTE(SUBSTITUTE(SUBSTITUTE(SUBSTITUTE(SUBSTITUTE($V54,"œ","oe"),"æ","ae"),"à","a"),"á","a"),"â","a"),"ä","a"),"ã","a"),"ç","c"),"è","e"),"é","e"),"ê","e"),"ë","e"),"")</f>
        <v>confiserie / bonbon / marshmallow</v>
      </c>
      <c r="X54" s="209" t="str">
        <f>IF(54=54,SUBSTITUTE(SUBSTITUTE(SUBSTITUTE(SUBSTITUTE(SUBSTITUTE(SUBSTITUTE(SUBSTITUTE(SUBSTITUTE(SUBSTITUTE(SUBSTITUTE(SUBSTITUTE(SUBSTITUTE(SUBSTITUTE(SUBSTITUTE(SUBSTITUTE(SUBSTITUTE($W54,"ì","i"),"í","i"),"î","i"),"ï","i"),"ñ","n"),"ò","o"),"ó","o"),"ô","o"),"ö","o"),"õ","o"),"ù","u"),"ú","u"),"û","u"),"ü","u"),"ý","y"),"ÿ","y"),"")</f>
        <v>confiserie / bonbon / marshmallow</v>
      </c>
      <c r="Y54" s="209" t="str">
        <f>IF(54=54,SUBSTITUTE(SUBSTITUTE(SUBSTITUTE(SUBSTITUTE(SUBSTITUTE(SUBSTITUTE(SUBSTITUTE(SUBSTITUTE(SUBSTITUTE(SUBSTITUTE(SUBSTITUTE(SUBSTITUTE(SUBSTITUTE(SUBSTITUTE($X54,"’"," "),"`"," "),"–"," "),"—"," "),"-"," "),"'"," "),"/"," "),"_"," "),","," "),"."," "),"("," "),")"," "),";"," "),":"," "),"")</f>
        <v>confiserie   bonbon   marshmallow</v>
      </c>
      <c r="Z54" s="209" t="str">
        <f>IF(54=54,SUBSTITUTE(SUBSTITUTE(SUBSTITUTE(SUBSTITUTE(SUBSTITUTE(SUBSTITUTE(SUBSTITUTE(SUBSTITUTE(SUBSTITUTE(SUBSTITUTE(SUBSTITUTE(SUBSTITUTE(SUBSTITUTE(SUBSTITUTE(SUBSTITUTE($Y54,"!"," "),"?"," "),"+"," "),"*"," "),"&amp;"," "),"["," "),"]"," "),"{"," "),"}"," "),"%"," "),"="," "),"\"," "),"|"," "),"&lt;"," "),"&gt;"," "),"")</f>
        <v>confiserie   bonbon   marshmallow</v>
      </c>
      <c r="AA54" s="209" t="str">
        <f>IF(54=54," "&amp;TRIM(SUBSTITUTE(SUBSTITUTE(SUBSTITUTE(SUBSTITUTE(SUBSTITUTE(SUBSTITUTE($Z54,CHAR(34)," "),"  "," "),"  "," "),"  "," "),"  "," "),"  "," "))&amp;" ","")</f>
        <v xml:space="preserve"> confiserie bonbon marshmallow </v>
      </c>
      <c r="AB54" s="209">
        <f>IF(54=54,IF($U54="","",SUMPRODUCT(--ISNUMBER(SEARCH(" "&amp;$CR$2:$CR$101&amp;" ",$AD54)))),"")</f>
        <v>0</v>
      </c>
      <c r="AC54" s="209">
        <f>IF(54=54,IF($U54="","",SUMPRODUCT(--ISNUMBER(SEARCH(" "&amp;$CR$102:$CR$151&amp;" ",$AD54)))),"")</f>
        <v>0</v>
      </c>
      <c r="AD54" s="209" t="str">
        <f t="shared" si="1"/>
        <v xml:space="preserve"> confiserie bonbon marshmallow </v>
      </c>
      <c r="AE54" s="209">
        <f t="shared" si="2"/>
        <v>0</v>
      </c>
      <c r="AF54" s="209" t="str">
        <f>IF(54=54,IF($U54="","",IF(SUM(AB54:AC54)+SUMPRODUCT(--ISNUMBER(SEARCH(" "&amp;$CR$2418:$CR$2420&amp;" ",$AD54)))&gt;0,"X",IF(AE54&gt;0,"?",""))),"")</f>
        <v/>
      </c>
      <c r="AG54" s="209">
        <f>IF(54=54,IF($U54="","",SUMPRODUCT(--ISNUMBER(SEARCH(" "&amp;$CR$206:$CR$305&amp;" ",$AA54)))),"")</f>
        <v>0</v>
      </c>
      <c r="AH54" s="209">
        <f>IF(54=54,IF($U54="","",SUMPRODUCT(--ISNUMBER(SEARCH(" "&amp;$CR$306:$CR$340&amp;" ",$AA54)))),"")</f>
        <v>0</v>
      </c>
      <c r="AI54" s="209" t="str">
        <f>IF(54=54,IF($U54="","",IF((SUM(AG54:AH54))-(0)&gt;0,"X",IF((0)-(0)&gt;0,"?",""))),"")</f>
        <v/>
      </c>
      <c r="AJ54" s="209">
        <f>IF(54=54,IF($U54="","",SUMPRODUCT(--ISNUMBER(SEARCH(" "&amp;$CR$341:$CR$398&amp;" ",$AA54)))),"")</f>
        <v>0</v>
      </c>
      <c r="AK54" s="209">
        <f>IF(54=54,IF($U54="","",SUMPRODUCT(--ISNUMBER(SEARCH(" "&amp;$CR$399:$CR$426&amp;" ",$AL54)))+SUMPRODUCT(--ISNUMBER(SEARCH(" "&amp;$CR$2440:$CR$2453&amp;" ",$AL54)))),"")</f>
        <v>0</v>
      </c>
      <c r="AL54" s="209" t="str">
        <f>IF(54=54,IF($U54="","",SUBSTITUTE(SUBSTITUTE(SUBSTITUTE(SUBSTITUTE(SUBSTITUTE(SUBSTITUTE(SUBSTITUTE(SUBSTITUTE(SUBSTITUTE(SUBSTITUTE(SUBSTITUTE(SUBSTITUTE(SUBSTITUTE(SUBSTITUTE($AA54,"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confiserie bonbon marshmallow </v>
      </c>
      <c r="AM54" s="209" t="str">
        <f>IF(54=54,IF($U54="","",IF(AJ54&gt;0,"X",IF(AK54&gt;0,"?",""))),"")</f>
        <v/>
      </c>
      <c r="AN54" s="209">
        <f>IF(54=54,IF($U54="","",SUMPRODUCT(--ISNUMBER(SEARCH(" "&amp;$CR$436:$CR$535&amp;" ",$AX54)))),"")</f>
        <v>0</v>
      </c>
      <c r="AO54" s="209">
        <f>IF(54=54,IF($U54="","",SUMPRODUCT(--ISNUMBER(SEARCH(" "&amp;$CR$536:$CR$635&amp;" ",$AX54)))),"")</f>
        <v>0</v>
      </c>
      <c r="AP54" s="209">
        <f>IF(54=54,IF($U54="","",SUMPRODUCT(--ISNUMBER(SEARCH(" "&amp;$CR$636:$CR$735&amp;" ",$AX54)))),"")</f>
        <v>0</v>
      </c>
      <c r="AQ54" s="209">
        <f>IF(54=54,IF($U54="","",SUMPRODUCT(--ISNUMBER(SEARCH(" "&amp;$CR$736:$CR$835&amp;" ",$AX54)))),"")</f>
        <v>0</v>
      </c>
      <c r="AR54" s="209">
        <f>IF(54=54,IF($U54="","",SUMPRODUCT(--ISNUMBER(SEARCH(" "&amp;$CR$836:$CR$935&amp;" ",$AX54)))),"")</f>
        <v>0</v>
      </c>
      <c r="AS54" s="209">
        <f>IF(54=54,IF($U54="","",SUMPRODUCT(--ISNUMBER(SEARCH(" "&amp;$CR$936:$CR$1035&amp;" ",$AX54)))),"")</f>
        <v>0</v>
      </c>
      <c r="AT54" s="209">
        <f>IF(54=54,IF($U54="","",SUMPRODUCT(--ISNUMBER(SEARCH(" "&amp;$CR$1036:$CR$1135&amp;" ",$AX54)))),"")</f>
        <v>0</v>
      </c>
      <c r="AU54" s="209">
        <f>IF(54=54,IF($U54="","",SUMPRODUCT(--ISNUMBER(SEARCH(" "&amp;$CR$1136:$CR$1235&amp;" ",$AX54)))),"")</f>
        <v>0</v>
      </c>
      <c r="AV54" s="209">
        <f>IF(54=54,IF($U54="","",SUMPRODUCT(--ISNUMBER(SEARCH(" "&amp;$CR$1236:$CR$1335&amp;" ",$AX54)))),"")</f>
        <v>0</v>
      </c>
      <c r="AW54" s="209">
        <f>IF(54=54,IF($U54="","",SUMPRODUCT(--ISNUMBER(SEARCH(" "&amp;$CR$1336:$CR$1363&amp;" ",$AX54)))),"")</f>
        <v>0</v>
      </c>
      <c r="AX54" s="209" t="str">
        <f>IF(54=54,IF($U54="","",SUBSTITUTE(SUBSTITUTE(SUBSTITUTE(SUBSTITUTE(SUBSTITUTE(SUBSTITUTE(SUBSTITUTE(SUBSTITUTE(SUBSTITUTE($AA54,"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confiserie bonbon marshmallow </v>
      </c>
      <c r="AY54" s="209">
        <f>IF(54=54,IF($U54="","",SUMPRODUCT(--ISNUMBER(SEARCH(" "&amp;$CR$1373:$CR$1383&amp;" ",$AX54)))),"")</f>
        <v>0</v>
      </c>
      <c r="AZ54" s="209" t="str">
        <f>IF(54=54,IF($U54="","",IF(SUM(AN54:AW54)+SUMPRODUCT(--ISNUMBER(SEARCH(" "&amp;$CR$2421:$CR$2422&amp;" ",$AX54)))&gt;0,"X",IF(AY54&gt;0,"?",""))),"")</f>
        <v/>
      </c>
      <c r="BA54" s="209">
        <f>IF(54=54,IF($U54="","",SUMPRODUCT(--ISNUMBER(SEARCH(" "&amp;$CR$1384:$CR$1404&amp;" ",$AA54)))),"")</f>
        <v>0</v>
      </c>
      <c r="BB54" s="209" t="str">
        <f>IF(54=54,IF($U54="","",IF((BA54)-(0)&gt;0,"X",IF((0)-(0)&gt;0,"?",""))),"")</f>
        <v/>
      </c>
      <c r="BC54" s="209">
        <f>IF(54=54,IF($U54="","",SUMPRODUCT(--ISNUMBER(SEARCH(" "&amp;$CR$1405:$CR$1442&amp;" ",$BD54)))),"")</f>
        <v>0</v>
      </c>
      <c r="BD54" s="209" t="str">
        <f>IF(54=54,IF($U54="","",SUBSTITUTE(SUBSTITUTE($AA54," "&amp;$CR$1443&amp;" "," ")," "&amp;$CR$1444&amp;" "," ")),"")</f>
        <v xml:space="preserve"> confiserie bonbon marshmallow </v>
      </c>
      <c r="BE54" s="209">
        <f>IF(54=54,IF($U54="","",SUMPRODUCT(--ISNUMBER(SEARCH(" "&amp;$CR$1445:$CR$1455&amp;" ",$BD54)))),"")</f>
        <v>0</v>
      </c>
      <c r="BF54" s="209" t="str">
        <f>IF(54=54,IF($U54="","",IF(BC54&gt;0,"X",IF(BE54&gt;0,"?",""))),"")</f>
        <v/>
      </c>
      <c r="BG54" s="209">
        <f>IF(54=54,IF($U54="","",SUMPRODUCT(--ISNUMBER(SEARCH(" "&amp;$CR$1456:$CR$1555&amp;" ",$BJ54)))),"")</f>
        <v>0</v>
      </c>
      <c r="BH54" s="209">
        <f>IF(54=54,IF($U54="","",SUMPRODUCT(--ISNUMBER(SEARCH(" "&amp;$CR$1556:$CR$1655&amp;" ",$BJ54)))),"")</f>
        <v>0</v>
      </c>
      <c r="BI54" s="209">
        <f>IF(54=54,IF($U54="","",SUMPRODUCT(--ISNUMBER(SEARCH(" "&amp;$CR$1656:$CR$1739&amp;" ",$BJ54)))),"")</f>
        <v>0</v>
      </c>
      <c r="BJ54" s="209" t="str">
        <f>IF(54=54,IF($U54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54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confiserie bonbon marshmallow </v>
      </c>
      <c r="BK54" s="209">
        <f>IF(54=54,IF($U54="","",SUMPRODUCT(--ISNUMBER(SEARCH(" "&amp;$CR$1790:$CR$1869&amp;" ",$BL54)))+SUMPRODUCT(--ISNUMBER(SEARCH(" "&amp;$CR$2440:$CR$2453&amp;" ",$BL54)))),"")</f>
        <v>0</v>
      </c>
      <c r="BL54" s="209" t="str">
        <f>IF(54=54,IF($U54="","",SUBSTITUTE(SUBSTITUTE(SUBSTITUTE(SUBSTITUTE(SUBSTITUTE(SUBSTITUTE(SUBSTITUTE(SUBSTITUTE(SUBSTITUTE(SUBSTITUTE(SUBSTITUTE(SUBSTITUTE(SUBSTITUTE($BJ54,"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confiserie bonbon marshmallow </v>
      </c>
      <c r="BM54" s="209" t="str">
        <f>IF(54=54,IF($U54="","",IF(SUM(BG54:BI54)+SUMPRODUCT(--ISNUMBER(SEARCH(" "&amp;$CR$2423:$CR$2424&amp;" ",$BJ54)))&gt;0,"X",IF(BK54&gt;0,"?",""))),"")</f>
        <v/>
      </c>
      <c r="BN54" s="209">
        <f>IF(54=54,IF($U54="","",SUMPRODUCT(--ISNUMBER(SEARCH(" "&amp;$CR$1879:$CR$1936&amp;" ",$BO54)))),"")</f>
        <v>0</v>
      </c>
      <c r="BO54" s="209" t="str">
        <f>IF(54=54,IF($U54="","",SUBSTITUTE(SUBSTITUTE(SUBSTITUTE(SUBSTITUTE(SUBSTITUTE(SUBSTITUTE(SUBSTITUTE(SUBSTITUTE(SUBSTITUTE(SUBSTITUTE(SUBSTITUTE(SUBSTITUTE(SUBSTITUTE(SUBSTITUTE(SUBSTITUTE(SUBSTITUTE(SUBSTITUTE(SUBSTITUTE(SUBSTITUTE(SUBSTITUTE(SUBSTITUTE(SUBSTITUTE(SUBSTITUTE($AA54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confiserie bonbon marshmallow </v>
      </c>
      <c r="BP54" s="209">
        <f>IF(54=54,IF($U54="","",SUMPRODUCT(--ISNUMBER(SEARCH(" "&amp;$CR$1960:$CR$1976&amp;" ",$BO54)))),"")</f>
        <v>0</v>
      </c>
      <c r="BQ54" s="209" t="str">
        <f>IF(54=54,IF($U54="","",IF(BN54&gt;0,"X",IF(BP54&gt;0,"?",""))),"")</f>
        <v/>
      </c>
      <c r="BR54" s="209">
        <f>IF(54=54,IF($U54="","",SUMPRODUCT(--ISNUMBER(SEARCH(" "&amp;$CR$1977:$CR$1990&amp;" ",$AA54)))),"")</f>
        <v>0</v>
      </c>
      <c r="BS54" s="209">
        <f>IF(54=54,IF($U54="","",SUMPRODUCT(--ISNUMBER(SEARCH(" "&amp;$CR$1991:$CR$2005&amp;" ",$AA54)))),"")</f>
        <v>0</v>
      </c>
      <c r="BT54" s="209" t="str">
        <f>IF(54=54,IF($U54="","",IF((BR54)-(0)&gt;0,"X",IF((BS54)-(0)&gt;0,"?",""))),"")</f>
        <v/>
      </c>
      <c r="BU54" s="209">
        <f>IF(54=54,IF($U54="","",SUMPRODUCT(--ISNUMBER(SEARCH(" "&amp;$CR$2006:$CR$2023&amp;" ",$AA54)))),"")</f>
        <v>0</v>
      </c>
      <c r="BV54" s="209">
        <f>IF(54=54,IF($U54="","",SUMPRODUCT(--ISNUMBER(SEARCH(" "&amp;$CR$2024:$CR$2038&amp;" ",$AA54)))),"")</f>
        <v>0</v>
      </c>
      <c r="BW54" s="209" t="str">
        <f>IF(54=54,IF($U54="","",IF((BU54)-(0)&gt;0,"X",IF((BV54)-(0)&gt;0,"?",""))),"")</f>
        <v/>
      </c>
      <c r="BX54" s="209">
        <f>IF(54=54,IF($U54="","",SUMPRODUCT(--ISNUMBER(SEARCH(" "&amp;$CR$2039:$CR$2057&amp;" ",$AA54)))),"")</f>
        <v>0</v>
      </c>
      <c r="BY54" s="209">
        <f>IF(54=54,IF($U54="","",SUMPRODUCT(--ISNUMBER(SEARCH(" "&amp;$CR$2058:$CR$2072&amp;" ",$AA54)))),"")</f>
        <v>0</v>
      </c>
      <c r="BZ54" s="209" t="str">
        <f>IF(54=54,IF($U54="","",IF((BX54)-(0)&gt;0,"X",IF((BY54)-(0)&gt;0,"?",""))),"")</f>
        <v/>
      </c>
      <c r="CA54" s="209">
        <f>IF(54=54,IF($U54="","",SUMPRODUCT(--ISNUMBER(SEARCH(" "&amp;$CR$2073:$CR$2093&amp;" ",$AA54)))),"")</f>
        <v>0</v>
      </c>
      <c r="CB54" s="209">
        <f>IF(54=54,IF($U54="","",SUMPRODUCT(--ISNUMBER(SEARCH(" "&amp;$CR$2094:$CR$2133&amp;" ",SUBSTITUTE(SUBSTITUTE($AA54," "&amp;$CR$1367&amp;" "," ")," "&amp;$CR$1366&amp;" "," "))))+--ISNUMBER(SEARCH("poiré",$V54))),"")</f>
        <v>0</v>
      </c>
      <c r="CC54" s="209" t="str">
        <f>IF(54=54,IF($U54="","",IF(OR(CA54&gt;0,ISNUMBER(SEARCH(" vinaigre de vin ",$AA54)),ISNUMBER(SEARCH(" vinaigre au vin ",$AA54))),"X",IF(CB54&gt;0,"?",""))),"")</f>
        <v/>
      </c>
      <c r="CD54" s="209">
        <f>IF(54=54,IF($U54="","",SUMPRODUCT(--ISNUMBER(SEARCH(" "&amp;$CR$2134:$CR$2146&amp;" ",$AA54)))),"")</f>
        <v>0</v>
      </c>
      <c r="CE54" s="209">
        <f>IF(54=54,IF($U54="","",SUMPRODUCT(--ISNUMBER(SEARCH(" "&amp;$CR$2147:$CR$2152&amp;" ",$AA54)))),"")</f>
        <v>0</v>
      </c>
      <c r="CF54" s="209" t="str">
        <f>IF(54=54,IF($U54="","",IF((CD54)-(0)&gt;0,"X",IF((CE54)-(0)&gt;0,"?",""))),"")</f>
        <v/>
      </c>
      <c r="CG54" s="209">
        <f>IF(54=54,IF($U54="","",SUMPRODUCT(--ISNUMBER(SEARCH(" "&amp;$CR$2153:$CR$2252&amp;" ",$CJ54)))),"")</f>
        <v>0</v>
      </c>
      <c r="CH54" s="209">
        <f>IF(54=54,IF($U54="","",SUMPRODUCT(--ISNUMBER(SEARCH(" "&amp;$CR$2253:$CR$2352&amp;" ",$CJ54)))),"")</f>
        <v>0</v>
      </c>
      <c r="CI54" s="209">
        <f>IF(54=54,IF($U54="","",SUMPRODUCT(--ISNUMBER(SEARCH(" "&amp;$CR$2353:$CR$2395&amp;" ",$CJ54)))),"")</f>
        <v>0</v>
      </c>
      <c r="CJ54" s="209" t="str">
        <f>IF(54=54,IF($U54="","",SUBSTITUTE(SUBSTITUTE(SUBSTITUTE(SUBSTITUTE(SUBSTITUTE(SUBSTITUTE(SUBSTITUTE(SUBSTITUTE(SUBSTITUTE(SUBSTITUTE(SUBSTITUTE(SUBSTITUTE(SUBSTITUTE(SUBSTITUTE(SUBSTITUTE(SUBSTITUTE($AA54,"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confiserie bonbon marshmallow </v>
      </c>
      <c r="CK54" s="209">
        <f>IF(54=54,IF($U54="","",SUMPRODUCT(--ISNUMBER(SEARCH(" "&amp;$CR$2412:$CR$2416&amp;" ",$CJ54)))),"")</f>
        <v>0</v>
      </c>
      <c r="CL54" s="209" t="str">
        <f>IF(54=54,IF($U54="","",IF(SUM(CG54:CI54)&gt;0,"X",IF(CK54&gt;0,"?",""))),"")</f>
        <v/>
      </c>
      <c r="CM54" s="210"/>
      <c r="CN54" s="213" t="s">
        <v>1088</v>
      </c>
      <c r="CO54" s="213" t="s">
        <v>878</v>
      </c>
      <c r="CP54" s="213" t="s">
        <v>879</v>
      </c>
      <c r="CQ54" s="213" t="s">
        <v>1089</v>
      </c>
      <c r="CR54" s="213" t="s">
        <v>1089</v>
      </c>
      <c r="CS54" s="213" t="s">
        <v>881</v>
      </c>
      <c r="CT54" s="213" t="s">
        <v>882</v>
      </c>
      <c r="CU54" s="213" t="s">
        <v>883</v>
      </c>
      <c r="CV54" s="214" t="s">
        <v>884</v>
      </c>
      <c r="CX54" s="212">
        <v>1</v>
      </c>
    </row>
    <row r="55" spans="1:102" ht="21" customHeight="1">
      <c r="A55" s="229">
        <v>49</v>
      </c>
      <c r="B55" s="230" t="s">
        <v>6656</v>
      </c>
      <c r="C55" s="231" t="str">
        <f t="shared" si="0"/>
        <v>Whisky / gin / vodka / rhum — distillat simple</v>
      </c>
      <c r="D55" s="232" t="str">
        <f>IF(55=55,IF($B55="","",IF(E55="X",""&amp;"Céréales contenant du gluten","")&amp;IF(F55="X",IF(COUNTIF($E55:$E55,"X")&gt;0,", ","")&amp;"Crustacés","")&amp;IF(G55="X",IF(COUNTIF($E55:$F55,"X")&gt;0,", ","")&amp;"Œufs","")&amp;IF(H55="X",IF(COUNTIF($E55:$G55,"X")&gt;0,", ","")&amp;"Poissons","")&amp;IF(I55="X",IF(COUNTIF($E55:$H55,"X")&gt;0,", ","")&amp;"Arachides","")&amp;IF(J55="X",IF(COUNTIF($E55:$I55,"X")&gt;0,", ","")&amp;"Soja","")&amp;IF(K55="X",IF(COUNTIF($E55:$J55,"X")&gt;0,", ","")&amp;"Lait","")&amp;IF(L55="X",IF(COUNTIF($E55:$K55,"X")&gt;0,", ","")&amp;"Fruits à coque","")&amp;IF(M55="X",IF(COUNTIF($E55:$L55,"X")&gt;0,", ","")&amp;"Céleri","")&amp;IF(N55="X",IF(COUNTIF($E55:$M55,"X")&gt;0,", ","")&amp;"Moutarde","")&amp;IF(O55="X",IF(COUNTIF($E55:$N55,"X")&gt;0,", ","")&amp;"Sésame","")&amp;IF(P55="X",IF(COUNTIF($E55:$O55,"X")&gt;0,", ","")&amp;"Sulfites","")&amp;IF(Q55="X",IF(COUNTIF($E55:$P55,"X")&gt;0,", ","")&amp;"Lupin","")&amp;IF(R55="X",IF(COUNTIF($E55:$Q55,"X")&gt;0,", ","")&amp;"Mollusques","")),"")</f>
        <v/>
      </c>
      <c r="E55" s="233" t="str">
        <f>IF(55=55,IF($B55="","",IF(OR(ISNUMBER(SEARCH(" biere sans gluten ",$AA55)),ISNUMBER(SEARCH(" gluten free beer ",$AA55)),ISNUMBER(SEARCH(" beer gluten free ",$AA55))),"",IF(AF55="X","X",IF(OR(AF55="?",OR(ISNUMBER(SEARCH(" worcestershire ",$AA55)),ISNUMBER(SEARCH(" bloody mary ",$AA55)))),"?","")))),"")</f>
        <v/>
      </c>
      <c r="F55" s="233" t="str">
        <f>IF(55=55,IF($B55="","",AI55),"")</f>
        <v/>
      </c>
      <c r="G55" s="233" t="str">
        <f>IF(55=55,IF($B55="","",IF(OR(TRIM($AA55)="puree pate d amande",TRIM($AA55)="pate puree d amande",TRIM($AA55)="puree d amande",TRIM($AA55)="pate d amande",TRIM($AA55)="pate puree de noisette",TRIM($AA55)="puree pate de noisette",TRIM($AA55)="puree de noisette",TRIM($AA55)="pate de noisette"),"",IF(OR(AM55="X",OR(ISNUMBER(SEARCH(" macaron ",$AA55)),ISNUMBER(SEARCH(" egg nog ",$AA55)),ISNUMBER(SEARCH(" eggnog ",$AA55)))),"X",IF(OR(AM55="?",OR(ISNUMBER(SEARCH(" biscuit decoratif ",$AA55)),ISNUMBER(SEARCH(" whisky sour ",$AA55)),ISNUMBER(SEARCH(" whiskey sour ",$AA55)),ISNUMBER(SEARCH(" amaretto sour ",$AA55)),ISNUMBER(SEARCH(" pisco sour ",$AA55)),ISNUMBER(SEARCH(" clover club ",$AA55)),ISNUMBER(SEARCH(" ramos gin fizz ",$AA55)))),"?","")))),"")</f>
        <v/>
      </c>
      <c r="H55" s="233" t="str">
        <f>IF(55=55,IF($B55="","",IF(ISNUMBER(SEARCH(" colin ",$AA55)),"X",IF(AZ55="X","X",IF(OR(AZ55="?",OR(ISNUMBER(SEARCH(" worcestershire ",$AA55)),ISNUMBER(SEARCH(" bloody mary ",$AA55)))),"?","")))),"")</f>
        <v/>
      </c>
      <c r="I55" s="233" t="str">
        <f>IF(55=55,IF($B55="","",BB55),"")</f>
        <v/>
      </c>
      <c r="J55" s="233" t="str">
        <f>IF(55=55,IF($B55="","",BF55),"")</f>
        <v/>
      </c>
      <c r="K55" s="233" t="str">
        <f>IF(55=55,IF($B55="","",IF(OR(OR(TRIM($AA55)="puree pate d amande",TRIM($AA55)="pate puree d amande",TRIM($AA55)="puree d amande",TRIM($AA55)="pate d amande",TRIM($AA55)="pate puree de noisette",TRIM($AA55)="puree pate de noisette",TRIM($AA55)="puree de noisette",TRIM($AA55)="pate de noisette"),OR(TRIM($AA55)="beurre puree d arachide",TRIM($AA55)="beurre d arachide",TRIM($AA55)="puree d arachide"),OR(TRIM($AA55)="tahini puree de sesame",TRIM($AA55)="tahini",TRIM($AA55)="puree de sesame")),"",IF(OR(TRIM($AA55)="creme de cassis",TRIM($AA55)="creme de menthe",TRIM($AA55)="creme de cacao",TRIM($AA55)="creme de mure",TRIM($AA55)="creme de framboise",TRIM($AA55)="creme de peche",TRIM($AA55)="creme de banane",TRIM($AA55)="liqueur creme de coco",TRIM($AA55)="creme de coco",TRIM($AA55)="spiritueux aromatise arrange creme de spiritueux"),"?",IF(OR(BM55="X",OR(ISNUMBER(SEARCH(" baileys ",$AA55)),ISNUMBER(SEARCH(" irish cream ",$AA55)),ISNUMBER(SEARCH(" creme de whisky ",$AA55)))),"X",IF(OR(BM55="?",OR(OR(TRIM($AA55)="creme de cassis",TRIM($AA55)="creme de menthe",TRIM($AA55)="creme de cacao",TRIM($AA55)="creme de mure",TRIM($AA55)="creme de framboise",TRIM($AA55)="creme de peche",TRIM($AA55)="creme de banane",TRIM($AA55)="liqueur creme de coco",TRIM($AA55)="creme de coco",TRIM($AA55)="spiritueux aromatise arrange creme de spiritueux"),ISNUMBER(SEARCH(" advocaat ",$AA55)),ISNUMBER(SEARCH(" liqueur aux oeufs ",$AA55)),ISNUMBER(SEARCH(" liqueur de chocolat ",$AA55)),ISNUMBER(SEARCH(" liqueur de caramel ",$AA55)),ISNUMBER(SEARCH(" sauce nappage chocolat ",$AA55)),ISNUMBER(SEARCH(" biscuit decoratif ",$AA55)),ISNUMBER(SEARCH(" white russian ",$AA55)),ISNUMBER(SEARCH(" grasshopper ",$AA55)),ISNUMBER(SEARCH(" irish coffee ",$AA55)),ISNUMBER(SEARCH(" ramos gin fizz ",$AA55)),ISNUMBER(SEARCH(" egg nog ",$AA55)),ISNUMBER(SEARCH(" eggnog ",$AA55)))),"?",""))))),"")</f>
        <v/>
      </c>
      <c r="L55" s="233" t="str">
        <f>IF(55=55,IF($B55="","",IF(OR(BQ55="X",OR(OR(TRIM($AA55)="puree pate d amande",TRIM($AA55)="pate puree d amande",TRIM($AA55)="puree d amande",TRIM($AA55)="pate d amande",TRIM($AA55)="pate puree de noisette",TRIM($AA55)="puree pate de noisette",TRIM($AA55)="puree de noisette",TRIM($AA55)="pate de noisette"),ISNUMBER(SEARCH(" macaron ",$AA55)),TRIM($AA55)="fruits a coque")),"X",IF(OR(BQ55="?",OR(ISNUMBER(SEARCH(" sirop d orgeat ",$AA55)),ISNUMBER(SEARCH(" orgeat ",$AA55)),ISNUMBER(SEARCH(" amaretto ",$AA55)))),"?",""))),"")</f>
        <v/>
      </c>
      <c r="M55" s="233" t="str">
        <f>IF(55=55,IF($B55="","",IF(OR(OR(TRIM($AA55)="puree pate d amande",TRIM($AA55)="pate puree d amande",TRIM($AA55)="puree d amande",TRIM($AA55)="pate d amande",TRIM($AA55)="pate puree de noisette",TRIM($AA55)="puree pate de noisette",TRIM($AA55)="puree de noisette",TRIM($AA55)="pate de noisette"),OR(TRIM($AA55)="tahini puree de sesame",TRIM($AA55)="tahini",TRIM($AA55)="puree de sesame")),"",IF(BT55="X","X",IF(OR(BT55="?",ISNUMBER(SEARCH(" bloody mary ",$AA55))),"?","")))),"")</f>
        <v/>
      </c>
      <c r="N55" s="233" t="str">
        <f>IF(55=55,IF($B55="","",IF(OR(OR(TRIM($AA55)="puree pate d amande",TRIM($AA55)="pate puree d amande",TRIM($AA55)="puree d amande",TRIM($AA55)="pate d amande",TRIM($AA55)="pate puree de noisette",TRIM($AA55)="puree pate de noisette",TRIM($AA55)="puree de noisette",TRIM($AA55)="pate de noisette"),OR(TRIM($AA55)="tahini puree de sesame",TRIM($AA55)="tahini",TRIM($AA55)="puree de sesame")),"",IF(BW55="X","X",IF(OR(BW55="?",ISNUMBER(SEARCH(" bloody mary ",$AA55))),"?","")))),"")</f>
        <v/>
      </c>
      <c r="O55" s="233" t="str">
        <f>IF(55=55,IF($B55="","",BZ55),"")</f>
        <v/>
      </c>
      <c r="P55" s="233" t="str">
        <f>IF(55=55,IF($B55="","",CC55),"")</f>
        <v/>
      </c>
      <c r="Q55" s="233" t="str">
        <f>IF(55=55,IF($B55="","",CF55),"")</f>
        <v/>
      </c>
      <c r="R55" s="233" t="str">
        <f>IF(55=55,IF($B55="","",IF(TRIM($AA55)="fruits a coque","",IF(CL55="X","X",IF(OR(CL55="?",OR(ISNUMBER(SEARCH(" clamato ",$AA55)),ISNUMBER(SEARCH(" bloody caesar ",$AA55)))),"?","")))),"")</f>
        <v/>
      </c>
      <c r="S55" s="234" t="str">
        <f>IF(55=55,IF($B55="","",IF(E55="?",""&amp;"Céréales contenant du gluten","")&amp;IF(F55="?",IF(COUNTIF($E55:$E55,"~?")&gt;0,", ","")&amp;"Crustacés","")&amp;IF(G55="?",IF(COUNTIF($E55:$F55,"~?")&gt;0,", ","")&amp;"Œufs","")&amp;IF(H55="?",IF(COUNTIF($E55:$G55,"~?")&gt;0,", ","")&amp;"Poissons","")&amp;IF(I55="?",IF(COUNTIF($E55:$H55,"~?")&gt;0,", ","")&amp;"Arachides","")&amp;IF(J55="?",IF(COUNTIF($E55:$I55,"~?")&gt;0,", ","")&amp;"Soja","")&amp;IF(K55="?",IF(COUNTIF($E55:$J55,"~?")&gt;0,", ","")&amp;"Lait","")&amp;IF(L55="?",IF(COUNTIF($E55:$K55,"~?")&gt;0,", ","")&amp;"Fruits à coque","")&amp;IF(M55="?",IF(COUNTIF($E55:$L55,"~?")&gt;0,", ","")&amp;"Céleri","")&amp;IF(N55="?",IF(COUNTIF($E55:$M55,"~?")&gt;0,", ","")&amp;"Moutarde","")&amp;IF(O55="?",IF(COUNTIF($E55:$N55,"~?")&gt;0,", ","")&amp;"Sésame","")&amp;IF(P55="?",IF(COUNTIF($E55:$O55,"~?")&gt;0,", ","")&amp;"Sulfites","")&amp;IF(Q55="?",IF(COUNTIF($E55:$P55,"~?")&gt;0,", ","")&amp;"Lupin","")&amp;IF(R55="?",IF(COUNTIF($E55:$Q55,"~?")&gt;0,", ","")&amp;"Mollusques","")),"")</f>
        <v/>
      </c>
      <c r="U55" s="209" t="str">
        <f>IF(55=55,IF($B55="","",$B55),"")</f>
        <v>Whisky / gin / vodka / rhum — distillat simple</v>
      </c>
      <c r="V55" s="209" t="str">
        <f>IF(55=55,LOWER(CLEAN(SUBSTITUTE(SUBSTITUTE(SUBSTITUTE(SUBSTITUTE($U55,CHAR(160)," ")," "," "),CHAR(10)," "),CHAR(13)," "))),"")</f>
        <v>whisky / gin / vodka / rhum — distillat simple</v>
      </c>
      <c r="W55" s="209" t="str">
        <f>IF(55=55,SUBSTITUTE(SUBSTITUTE(SUBSTITUTE(SUBSTITUTE(SUBSTITUTE(SUBSTITUTE(SUBSTITUTE(SUBSTITUTE(SUBSTITUTE(SUBSTITUTE(SUBSTITUTE(SUBSTITUTE($V55,"œ","oe"),"æ","ae"),"à","a"),"á","a"),"â","a"),"ä","a"),"ã","a"),"ç","c"),"è","e"),"é","e"),"ê","e"),"ë","e"),"")</f>
        <v>whisky / gin / vodka / rhum — distillat simple</v>
      </c>
      <c r="X55" s="209" t="str">
        <f>IF(55=55,SUBSTITUTE(SUBSTITUTE(SUBSTITUTE(SUBSTITUTE(SUBSTITUTE(SUBSTITUTE(SUBSTITUTE(SUBSTITUTE(SUBSTITUTE(SUBSTITUTE(SUBSTITUTE(SUBSTITUTE(SUBSTITUTE(SUBSTITUTE(SUBSTITUTE(SUBSTITUTE($W55,"ì","i"),"í","i"),"î","i"),"ï","i"),"ñ","n"),"ò","o"),"ó","o"),"ô","o"),"ö","o"),"õ","o"),"ù","u"),"ú","u"),"û","u"),"ü","u"),"ý","y"),"ÿ","y"),"")</f>
        <v>whisky / gin / vodka / rhum — distillat simple</v>
      </c>
      <c r="Y55" s="209" t="str">
        <f>IF(55=55,SUBSTITUTE(SUBSTITUTE(SUBSTITUTE(SUBSTITUTE(SUBSTITUTE(SUBSTITUTE(SUBSTITUTE(SUBSTITUTE(SUBSTITUTE(SUBSTITUTE(SUBSTITUTE(SUBSTITUTE(SUBSTITUTE(SUBSTITUTE($X55,"’"," "),"`"," "),"–"," "),"—"," "),"-"," "),"'"," "),"/"," "),"_"," "),","," "),"."," "),"("," "),")"," "),";"," "),":"," "),"")</f>
        <v>whisky   gin   vodka   rhum   distillat simple</v>
      </c>
      <c r="Z55" s="209" t="str">
        <f>IF(55=55,SUBSTITUTE(SUBSTITUTE(SUBSTITUTE(SUBSTITUTE(SUBSTITUTE(SUBSTITUTE(SUBSTITUTE(SUBSTITUTE(SUBSTITUTE(SUBSTITUTE(SUBSTITUTE(SUBSTITUTE(SUBSTITUTE(SUBSTITUTE(SUBSTITUTE($Y55,"!"," "),"?"," "),"+"," "),"*"," "),"&amp;"," "),"["," "),"]"," "),"{"," "),"}"," "),"%"," "),"="," "),"\"," "),"|"," "),"&lt;"," "),"&gt;"," "),"")</f>
        <v>whisky   gin   vodka   rhum   distillat simple</v>
      </c>
      <c r="AA55" s="209" t="str">
        <f>IF(55=55," "&amp;TRIM(SUBSTITUTE(SUBSTITUTE(SUBSTITUTE(SUBSTITUTE(SUBSTITUTE(SUBSTITUTE($Z55,CHAR(34)," "),"  "," "),"  "," "),"  "," "),"  "," "),"  "," "))&amp;" ","")</f>
        <v xml:space="preserve"> whisky gin vodka rhum distillat simple </v>
      </c>
      <c r="AB55" s="209">
        <f>IF(55=55,IF($U55="","",SUMPRODUCT(--ISNUMBER(SEARCH(" "&amp;$CR$2:$CR$101&amp;" ",$AD55)))),"")</f>
        <v>0</v>
      </c>
      <c r="AC55" s="209">
        <f>IF(55=55,IF($U55="","",SUMPRODUCT(--ISNUMBER(SEARCH(" "&amp;$CR$102:$CR$151&amp;" ",$AD55)))),"")</f>
        <v>0</v>
      </c>
      <c r="AD55" s="209" t="str">
        <f t="shared" si="1"/>
        <v xml:space="preserve"> distillat simple </v>
      </c>
      <c r="AE55" s="209">
        <f t="shared" si="2"/>
        <v>0</v>
      </c>
      <c r="AF55" s="209" t="str">
        <f>IF(55=55,IF($U55="","",IF(SUM(AB55:AC55)+SUMPRODUCT(--ISNUMBER(SEARCH(" "&amp;$CR$2418:$CR$2420&amp;" ",$AD55)))&gt;0,"X",IF(AE55&gt;0,"?",""))),"")</f>
        <v/>
      </c>
      <c r="AG55" s="209">
        <f>IF(55=55,IF($U55="","",SUMPRODUCT(--ISNUMBER(SEARCH(" "&amp;$CR$206:$CR$305&amp;" ",$AA55)))),"")</f>
        <v>0</v>
      </c>
      <c r="AH55" s="209">
        <f>IF(55=55,IF($U55="","",SUMPRODUCT(--ISNUMBER(SEARCH(" "&amp;$CR$306:$CR$340&amp;" ",$AA55)))),"")</f>
        <v>0</v>
      </c>
      <c r="AI55" s="209" t="str">
        <f>IF(55=55,IF($U55="","",IF((SUM(AG55:AH55))-(0)&gt;0,"X",IF((0)-(0)&gt;0,"?",""))),"")</f>
        <v/>
      </c>
      <c r="AJ55" s="209">
        <f>IF(55=55,IF($U55="","",SUMPRODUCT(--ISNUMBER(SEARCH(" "&amp;$CR$341:$CR$398&amp;" ",$AA55)))),"")</f>
        <v>0</v>
      </c>
      <c r="AK55" s="209">
        <f>IF(55=55,IF($U55="","",SUMPRODUCT(--ISNUMBER(SEARCH(" "&amp;$CR$399:$CR$426&amp;" ",$AL55)))+SUMPRODUCT(--ISNUMBER(SEARCH(" "&amp;$CR$2440:$CR$2453&amp;" ",$AL55)))),"")</f>
        <v>0</v>
      </c>
      <c r="AL55" s="209" t="str">
        <f>IF(55=55,IF($U55="","",SUBSTITUTE(SUBSTITUTE(SUBSTITUTE(SUBSTITUTE(SUBSTITUTE(SUBSTITUTE(SUBSTITUTE(SUBSTITUTE(SUBSTITUTE(SUBSTITUTE(SUBSTITUTE(SUBSTITUTE(SUBSTITUTE(SUBSTITUTE($AA55,"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whisky gin vodka rhum distillat simple </v>
      </c>
      <c r="AM55" s="209" t="str">
        <f>IF(55=55,IF($U55="","",IF(AJ55&gt;0,"X",IF(AK55&gt;0,"?",""))),"")</f>
        <v/>
      </c>
      <c r="AN55" s="209">
        <f>IF(55=55,IF($U55="","",SUMPRODUCT(--ISNUMBER(SEARCH(" "&amp;$CR$436:$CR$535&amp;" ",$AX55)))),"")</f>
        <v>0</v>
      </c>
      <c r="AO55" s="209">
        <f>IF(55=55,IF($U55="","",SUMPRODUCT(--ISNUMBER(SEARCH(" "&amp;$CR$536:$CR$635&amp;" ",$AX55)))),"")</f>
        <v>0</v>
      </c>
      <c r="AP55" s="209">
        <f>IF(55=55,IF($U55="","",SUMPRODUCT(--ISNUMBER(SEARCH(" "&amp;$CR$636:$CR$735&amp;" ",$AX55)))),"")</f>
        <v>0</v>
      </c>
      <c r="AQ55" s="209">
        <f>IF(55=55,IF($U55="","",SUMPRODUCT(--ISNUMBER(SEARCH(" "&amp;$CR$736:$CR$835&amp;" ",$AX55)))),"")</f>
        <v>0</v>
      </c>
      <c r="AR55" s="209">
        <f>IF(55=55,IF($U55="","",SUMPRODUCT(--ISNUMBER(SEARCH(" "&amp;$CR$836:$CR$935&amp;" ",$AX55)))),"")</f>
        <v>0</v>
      </c>
      <c r="AS55" s="209">
        <f>IF(55=55,IF($U55="","",SUMPRODUCT(--ISNUMBER(SEARCH(" "&amp;$CR$936:$CR$1035&amp;" ",$AX55)))),"")</f>
        <v>0</v>
      </c>
      <c r="AT55" s="209">
        <f>IF(55=55,IF($U55="","",SUMPRODUCT(--ISNUMBER(SEARCH(" "&amp;$CR$1036:$CR$1135&amp;" ",$AX55)))),"")</f>
        <v>0</v>
      </c>
      <c r="AU55" s="209">
        <f>IF(55=55,IF($U55="","",SUMPRODUCT(--ISNUMBER(SEARCH(" "&amp;$CR$1136:$CR$1235&amp;" ",$AX55)))),"")</f>
        <v>0</v>
      </c>
      <c r="AV55" s="209">
        <f>IF(55=55,IF($U55="","",SUMPRODUCT(--ISNUMBER(SEARCH(" "&amp;$CR$1236:$CR$1335&amp;" ",$AX55)))),"")</f>
        <v>0</v>
      </c>
      <c r="AW55" s="209">
        <f>IF(55=55,IF($U55="","",SUMPRODUCT(--ISNUMBER(SEARCH(" "&amp;$CR$1336:$CR$1363&amp;" ",$AX55)))),"")</f>
        <v>0</v>
      </c>
      <c r="AX55" s="209" t="str">
        <f>IF(55=55,IF($U55="","",SUBSTITUTE(SUBSTITUTE(SUBSTITUTE(SUBSTITUTE(SUBSTITUTE(SUBSTITUTE(SUBSTITUTE(SUBSTITUTE(SUBSTITUTE($AA55,"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whisky gin vodka rhum distillat simple </v>
      </c>
      <c r="AY55" s="209">
        <f>IF(55=55,IF($U55="","",SUMPRODUCT(--ISNUMBER(SEARCH(" "&amp;$CR$1373:$CR$1383&amp;" ",$AX55)))),"")</f>
        <v>0</v>
      </c>
      <c r="AZ55" s="209" t="str">
        <f>IF(55=55,IF($U55="","",IF(SUM(AN55:AW55)+SUMPRODUCT(--ISNUMBER(SEARCH(" "&amp;$CR$2421:$CR$2422&amp;" ",$AX55)))&gt;0,"X",IF(AY55&gt;0,"?",""))),"")</f>
        <v/>
      </c>
      <c r="BA55" s="209">
        <f>IF(55=55,IF($U55="","",SUMPRODUCT(--ISNUMBER(SEARCH(" "&amp;$CR$1384:$CR$1404&amp;" ",$AA55)))),"")</f>
        <v>0</v>
      </c>
      <c r="BB55" s="209" t="str">
        <f>IF(55=55,IF($U55="","",IF((BA55)-(0)&gt;0,"X",IF((0)-(0)&gt;0,"?",""))),"")</f>
        <v/>
      </c>
      <c r="BC55" s="209">
        <f>IF(55=55,IF($U55="","",SUMPRODUCT(--ISNUMBER(SEARCH(" "&amp;$CR$1405:$CR$1442&amp;" ",$BD55)))),"")</f>
        <v>0</v>
      </c>
      <c r="BD55" s="209" t="str">
        <f>IF(55=55,IF($U55="","",SUBSTITUTE(SUBSTITUTE($AA55," "&amp;$CR$1443&amp;" "," ")," "&amp;$CR$1444&amp;" "," ")),"")</f>
        <v xml:space="preserve"> whisky gin vodka rhum distillat simple </v>
      </c>
      <c r="BE55" s="209">
        <f>IF(55=55,IF($U55="","",SUMPRODUCT(--ISNUMBER(SEARCH(" "&amp;$CR$1445:$CR$1455&amp;" ",$BD55)))),"")</f>
        <v>0</v>
      </c>
      <c r="BF55" s="209" t="str">
        <f>IF(55=55,IF($U55="","",IF(BC55&gt;0,"X",IF(BE55&gt;0,"?",""))),"")</f>
        <v/>
      </c>
      <c r="BG55" s="209">
        <f>IF(55=55,IF($U55="","",SUMPRODUCT(--ISNUMBER(SEARCH(" "&amp;$CR$1456:$CR$1555&amp;" ",$BJ55)))),"")</f>
        <v>0</v>
      </c>
      <c r="BH55" s="209">
        <f>IF(55=55,IF($U55="","",SUMPRODUCT(--ISNUMBER(SEARCH(" "&amp;$CR$1556:$CR$1655&amp;" ",$BJ55)))),"")</f>
        <v>0</v>
      </c>
      <c r="BI55" s="209">
        <f>IF(55=55,IF($U55="","",SUMPRODUCT(--ISNUMBER(SEARCH(" "&amp;$CR$1656:$CR$1739&amp;" ",$BJ55)))),"")</f>
        <v>0</v>
      </c>
      <c r="BJ55" s="209" t="str">
        <f>IF(55=55,IF($U55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55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whisky gin vodka rhum distillat simple </v>
      </c>
      <c r="BK55" s="209">
        <f>IF(55=55,IF($U55="","",SUMPRODUCT(--ISNUMBER(SEARCH(" "&amp;$CR$1790:$CR$1869&amp;" ",$BL55)))+SUMPRODUCT(--ISNUMBER(SEARCH(" "&amp;$CR$2440:$CR$2453&amp;" ",$BL55)))),"")</f>
        <v>0</v>
      </c>
      <c r="BL55" s="209" t="str">
        <f>IF(55=55,IF($U55="","",SUBSTITUTE(SUBSTITUTE(SUBSTITUTE(SUBSTITUTE(SUBSTITUTE(SUBSTITUTE(SUBSTITUTE(SUBSTITUTE(SUBSTITUTE(SUBSTITUTE(SUBSTITUTE(SUBSTITUTE(SUBSTITUTE($BJ55,"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whisky gin vodka rhum distillat simple </v>
      </c>
      <c r="BM55" s="209" t="str">
        <f>IF(55=55,IF($U55="","",IF(SUM(BG55:BI55)+SUMPRODUCT(--ISNUMBER(SEARCH(" "&amp;$CR$2423:$CR$2424&amp;" ",$BJ55)))&gt;0,"X",IF(BK55&gt;0,"?",""))),"")</f>
        <v/>
      </c>
      <c r="BN55" s="209">
        <f>IF(55=55,IF($U55="","",SUMPRODUCT(--ISNUMBER(SEARCH(" "&amp;$CR$1879:$CR$1936&amp;" ",$BO55)))),"")</f>
        <v>0</v>
      </c>
      <c r="BO55" s="209" t="str">
        <f>IF(55=55,IF($U55="","",SUBSTITUTE(SUBSTITUTE(SUBSTITUTE(SUBSTITUTE(SUBSTITUTE(SUBSTITUTE(SUBSTITUTE(SUBSTITUTE(SUBSTITUTE(SUBSTITUTE(SUBSTITUTE(SUBSTITUTE(SUBSTITUTE(SUBSTITUTE(SUBSTITUTE(SUBSTITUTE(SUBSTITUTE(SUBSTITUTE(SUBSTITUTE(SUBSTITUTE(SUBSTITUTE(SUBSTITUTE(SUBSTITUTE($AA55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whisky gin vodka rhum distillat simple </v>
      </c>
      <c r="BP55" s="209">
        <f>IF(55=55,IF($U55="","",SUMPRODUCT(--ISNUMBER(SEARCH(" "&amp;$CR$1960:$CR$1976&amp;" ",$BO55)))),"")</f>
        <v>0</v>
      </c>
      <c r="BQ55" s="209" t="str">
        <f>IF(55=55,IF($U55="","",IF(BN55&gt;0,"X",IF(BP55&gt;0,"?",""))),"")</f>
        <v/>
      </c>
      <c r="BR55" s="209">
        <f>IF(55=55,IF($U55="","",SUMPRODUCT(--ISNUMBER(SEARCH(" "&amp;$CR$1977:$CR$1990&amp;" ",$AA55)))),"")</f>
        <v>0</v>
      </c>
      <c r="BS55" s="209">
        <f>IF(55=55,IF($U55="","",SUMPRODUCT(--ISNUMBER(SEARCH(" "&amp;$CR$1991:$CR$2005&amp;" ",$AA55)))),"")</f>
        <v>0</v>
      </c>
      <c r="BT55" s="209" t="str">
        <f>IF(55=55,IF($U55="","",IF((BR55)-(0)&gt;0,"X",IF((BS55)-(0)&gt;0,"?",""))),"")</f>
        <v/>
      </c>
      <c r="BU55" s="209">
        <f>IF(55=55,IF($U55="","",SUMPRODUCT(--ISNUMBER(SEARCH(" "&amp;$CR$2006:$CR$2023&amp;" ",$AA55)))),"")</f>
        <v>0</v>
      </c>
      <c r="BV55" s="209">
        <f>IF(55=55,IF($U55="","",SUMPRODUCT(--ISNUMBER(SEARCH(" "&amp;$CR$2024:$CR$2038&amp;" ",$AA55)))),"")</f>
        <v>0</v>
      </c>
      <c r="BW55" s="209" t="str">
        <f>IF(55=55,IF($U55="","",IF((BU55)-(0)&gt;0,"X",IF((BV55)-(0)&gt;0,"?",""))),"")</f>
        <v/>
      </c>
      <c r="BX55" s="209">
        <f>IF(55=55,IF($U55="","",SUMPRODUCT(--ISNUMBER(SEARCH(" "&amp;$CR$2039:$CR$2057&amp;" ",$AA55)))),"")</f>
        <v>0</v>
      </c>
      <c r="BY55" s="209">
        <f>IF(55=55,IF($U55="","",SUMPRODUCT(--ISNUMBER(SEARCH(" "&amp;$CR$2058:$CR$2072&amp;" ",$AA55)))),"")</f>
        <v>0</v>
      </c>
      <c r="BZ55" s="209" t="str">
        <f>IF(55=55,IF($U55="","",IF((BX55)-(0)&gt;0,"X",IF((BY55)-(0)&gt;0,"?",""))),"")</f>
        <v/>
      </c>
      <c r="CA55" s="209">
        <f>IF(55=55,IF($U55="","",SUMPRODUCT(--ISNUMBER(SEARCH(" "&amp;$CR$2073:$CR$2093&amp;" ",$AA55)))),"")</f>
        <v>0</v>
      </c>
      <c r="CB55" s="209">
        <f>IF(55=55,IF($U55="","",SUMPRODUCT(--ISNUMBER(SEARCH(" "&amp;$CR$2094:$CR$2133&amp;" ",SUBSTITUTE(SUBSTITUTE($AA55," "&amp;$CR$1367&amp;" "," ")," "&amp;$CR$1366&amp;" "," "))))+--ISNUMBER(SEARCH("poiré",$V55))),"")</f>
        <v>0</v>
      </c>
      <c r="CC55" s="209" t="str">
        <f>IF(55=55,IF($U55="","",IF(OR(CA55&gt;0,ISNUMBER(SEARCH(" vinaigre de vin ",$AA55)),ISNUMBER(SEARCH(" vinaigre au vin ",$AA55))),"X",IF(CB55&gt;0,"?",""))),"")</f>
        <v/>
      </c>
      <c r="CD55" s="209">
        <f>IF(55=55,IF($U55="","",SUMPRODUCT(--ISNUMBER(SEARCH(" "&amp;$CR$2134:$CR$2146&amp;" ",$AA55)))),"")</f>
        <v>0</v>
      </c>
      <c r="CE55" s="209">
        <f>IF(55=55,IF($U55="","",SUMPRODUCT(--ISNUMBER(SEARCH(" "&amp;$CR$2147:$CR$2152&amp;" ",$AA55)))),"")</f>
        <v>0</v>
      </c>
      <c r="CF55" s="209" t="str">
        <f>IF(55=55,IF($U55="","",IF((CD55)-(0)&gt;0,"X",IF((CE55)-(0)&gt;0,"?",""))),"")</f>
        <v/>
      </c>
      <c r="CG55" s="209">
        <f>IF(55=55,IF($U55="","",SUMPRODUCT(--ISNUMBER(SEARCH(" "&amp;$CR$2153:$CR$2252&amp;" ",$CJ55)))),"")</f>
        <v>0</v>
      </c>
      <c r="CH55" s="209">
        <f>IF(55=55,IF($U55="","",SUMPRODUCT(--ISNUMBER(SEARCH(" "&amp;$CR$2253:$CR$2352&amp;" ",$CJ55)))),"")</f>
        <v>0</v>
      </c>
      <c r="CI55" s="209">
        <f>IF(55=55,IF($U55="","",SUMPRODUCT(--ISNUMBER(SEARCH(" "&amp;$CR$2353:$CR$2395&amp;" ",$CJ55)))),"")</f>
        <v>0</v>
      </c>
      <c r="CJ55" s="209" t="str">
        <f>IF(55=55,IF($U55="","",SUBSTITUTE(SUBSTITUTE(SUBSTITUTE(SUBSTITUTE(SUBSTITUTE(SUBSTITUTE(SUBSTITUTE(SUBSTITUTE(SUBSTITUTE(SUBSTITUTE(SUBSTITUTE(SUBSTITUTE(SUBSTITUTE(SUBSTITUTE(SUBSTITUTE(SUBSTITUTE($AA55,"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whisky gin vodka rhum distillat simple </v>
      </c>
      <c r="CK55" s="209">
        <f>IF(55=55,IF($U55="","",SUMPRODUCT(--ISNUMBER(SEARCH(" "&amp;$CR$2412:$CR$2416&amp;" ",$CJ55)))),"")</f>
        <v>0</v>
      </c>
      <c r="CL55" s="209" t="str">
        <f>IF(55=55,IF($U55="","",IF(SUM(CG55:CI55)&gt;0,"X",IF(CK55&gt;0,"?",""))),"")</f>
        <v/>
      </c>
      <c r="CM55" s="210"/>
      <c r="CN55" s="213" t="s">
        <v>1090</v>
      </c>
      <c r="CO55" s="213" t="s">
        <v>878</v>
      </c>
      <c r="CP55" s="213" t="s">
        <v>879</v>
      </c>
      <c r="CQ55" s="213" t="s">
        <v>1091</v>
      </c>
      <c r="CR55" s="213" t="s">
        <v>1091</v>
      </c>
      <c r="CS55" s="213" t="s">
        <v>881</v>
      </c>
      <c r="CT55" s="213" t="s">
        <v>882</v>
      </c>
      <c r="CU55" s="213" t="s">
        <v>883</v>
      </c>
      <c r="CV55" s="214" t="s">
        <v>884</v>
      </c>
      <c r="CX55" s="212">
        <v>1</v>
      </c>
    </row>
    <row r="56" spans="1:102" ht="21" customHeight="1">
      <c r="A56" s="229">
        <v>50</v>
      </c>
      <c r="B56" s="230" t="s">
        <v>6661</v>
      </c>
      <c r="C56" s="231" t="str">
        <f t="shared" si="0"/>
        <v>Spiritueux aromatisé / arrangé / crème de spiritueux ?</v>
      </c>
      <c r="D56" s="232" t="str">
        <f>IF(56=56,IF($B56="","",IF(E56="X",""&amp;"Céréales contenant du gluten","")&amp;IF(F56="X",IF(COUNTIF($E56:$E56,"X")&gt;0,", ","")&amp;"Crustacés","")&amp;IF(G56="X",IF(COUNTIF($E56:$F56,"X")&gt;0,", ","")&amp;"Œufs","")&amp;IF(H56="X",IF(COUNTIF($E56:$G56,"X")&gt;0,", ","")&amp;"Poissons","")&amp;IF(I56="X",IF(COUNTIF($E56:$H56,"X")&gt;0,", ","")&amp;"Arachides","")&amp;IF(J56="X",IF(COUNTIF($E56:$I56,"X")&gt;0,", ","")&amp;"Soja","")&amp;IF(K56="X",IF(COUNTIF($E56:$J56,"X")&gt;0,", ","")&amp;"Lait","")&amp;IF(L56="X",IF(COUNTIF($E56:$K56,"X")&gt;0,", ","")&amp;"Fruits à coque","")&amp;IF(M56="X",IF(COUNTIF($E56:$L56,"X")&gt;0,", ","")&amp;"Céleri","")&amp;IF(N56="X",IF(COUNTIF($E56:$M56,"X")&gt;0,", ","")&amp;"Moutarde","")&amp;IF(O56="X",IF(COUNTIF($E56:$N56,"X")&gt;0,", ","")&amp;"Sésame","")&amp;IF(P56="X",IF(COUNTIF($E56:$O56,"X")&gt;0,", ","")&amp;"Sulfites","")&amp;IF(Q56="X",IF(COUNTIF($E56:$P56,"X")&gt;0,", ","")&amp;"Lupin","")&amp;IF(R56="X",IF(COUNTIF($E56:$Q56,"X")&gt;0,", ","")&amp;"Mollusques","")),"")</f>
        <v/>
      </c>
      <c r="E56" s="233" t="str">
        <f>IF(56=56,IF($B56="","",IF(OR(ISNUMBER(SEARCH(" biere sans gluten ",$AA56)),ISNUMBER(SEARCH(" gluten free beer ",$AA56)),ISNUMBER(SEARCH(" beer gluten free ",$AA56))),"",IF(AF56="X","X",IF(OR(AF56="?",OR(ISNUMBER(SEARCH(" worcestershire ",$AA56)),ISNUMBER(SEARCH(" bloody mary ",$AA56)))),"?","")))),"")</f>
        <v/>
      </c>
      <c r="F56" s="233" t="str">
        <f>IF(56=56,IF($B56="","",AI56),"")</f>
        <v/>
      </c>
      <c r="G56" s="233" t="str">
        <f>IF(56=56,IF($B56="","",IF(OR(TRIM($AA56)="puree pate d amande",TRIM($AA56)="pate puree d amande",TRIM($AA56)="puree d amande",TRIM($AA56)="pate d amande",TRIM($AA56)="pate puree de noisette",TRIM($AA56)="puree pate de noisette",TRIM($AA56)="puree de noisette",TRIM($AA56)="pate de noisette"),"",IF(OR(AM56="X",OR(ISNUMBER(SEARCH(" macaron ",$AA56)),ISNUMBER(SEARCH(" egg nog ",$AA56)),ISNUMBER(SEARCH(" eggnog ",$AA56)))),"X",IF(OR(AM56="?",OR(ISNUMBER(SEARCH(" biscuit decoratif ",$AA56)),ISNUMBER(SEARCH(" whisky sour ",$AA56)),ISNUMBER(SEARCH(" whiskey sour ",$AA56)),ISNUMBER(SEARCH(" amaretto sour ",$AA56)),ISNUMBER(SEARCH(" pisco sour ",$AA56)),ISNUMBER(SEARCH(" clover club ",$AA56)),ISNUMBER(SEARCH(" ramos gin fizz ",$AA56)))),"?","")))),"")</f>
        <v/>
      </c>
      <c r="H56" s="233" t="str">
        <f>IF(56=56,IF($B56="","",IF(ISNUMBER(SEARCH(" colin ",$AA56)),"X",IF(AZ56="X","X",IF(OR(AZ56="?",OR(ISNUMBER(SEARCH(" worcestershire ",$AA56)),ISNUMBER(SEARCH(" bloody mary ",$AA56)))),"?","")))),"")</f>
        <v/>
      </c>
      <c r="I56" s="233" t="str">
        <f>IF(56=56,IF($B56="","",BB56),"")</f>
        <v/>
      </c>
      <c r="J56" s="233" t="str">
        <f>IF(56=56,IF($B56="","",BF56),"")</f>
        <v/>
      </c>
      <c r="K56" s="233" t="str">
        <f>IF(56=56,IF($B56="","",IF(OR(OR(TRIM($AA56)="puree pate d amande",TRIM($AA56)="pate puree d amande",TRIM($AA56)="puree d amande",TRIM($AA56)="pate d amande",TRIM($AA56)="pate puree de noisette",TRIM($AA56)="puree pate de noisette",TRIM($AA56)="puree de noisette",TRIM($AA56)="pate de noisette"),OR(TRIM($AA56)="beurre puree d arachide",TRIM($AA56)="beurre d arachide",TRIM($AA56)="puree d arachide"),OR(TRIM($AA56)="tahini puree de sesame",TRIM($AA56)="tahini",TRIM($AA56)="puree de sesame")),"",IF(OR(TRIM($AA56)="creme de cassis",TRIM($AA56)="creme de menthe",TRIM($AA56)="creme de cacao",TRIM($AA56)="creme de mure",TRIM($AA56)="creme de framboise",TRIM($AA56)="creme de peche",TRIM($AA56)="creme de banane",TRIM($AA56)="liqueur creme de coco",TRIM($AA56)="creme de coco",TRIM($AA56)="spiritueux aromatise arrange creme de spiritueux"),"?",IF(OR(BM56="X",OR(ISNUMBER(SEARCH(" baileys ",$AA56)),ISNUMBER(SEARCH(" irish cream ",$AA56)),ISNUMBER(SEARCH(" creme de whisky ",$AA56)))),"X",IF(OR(BM56="?",OR(OR(TRIM($AA56)="creme de cassis",TRIM($AA56)="creme de menthe",TRIM($AA56)="creme de cacao",TRIM($AA56)="creme de mure",TRIM($AA56)="creme de framboise",TRIM($AA56)="creme de peche",TRIM($AA56)="creme de banane",TRIM($AA56)="liqueur creme de coco",TRIM($AA56)="creme de coco",TRIM($AA56)="spiritueux aromatise arrange creme de spiritueux"),ISNUMBER(SEARCH(" advocaat ",$AA56)),ISNUMBER(SEARCH(" liqueur aux oeufs ",$AA56)),ISNUMBER(SEARCH(" liqueur de chocolat ",$AA56)),ISNUMBER(SEARCH(" liqueur de caramel ",$AA56)),ISNUMBER(SEARCH(" sauce nappage chocolat ",$AA56)),ISNUMBER(SEARCH(" biscuit decoratif ",$AA56)),ISNUMBER(SEARCH(" white russian ",$AA56)),ISNUMBER(SEARCH(" grasshopper ",$AA56)),ISNUMBER(SEARCH(" irish coffee ",$AA56)),ISNUMBER(SEARCH(" ramos gin fizz ",$AA56)),ISNUMBER(SEARCH(" egg nog ",$AA56)),ISNUMBER(SEARCH(" eggnog ",$AA56)))),"?",""))))),"")</f>
        <v>?</v>
      </c>
      <c r="L56" s="233" t="str">
        <f>IF(56=56,IF($B56="","",IF(OR(BQ56="X",OR(OR(TRIM($AA56)="puree pate d amande",TRIM($AA56)="pate puree d amande",TRIM($AA56)="puree d amande",TRIM($AA56)="pate d amande",TRIM($AA56)="pate puree de noisette",TRIM($AA56)="puree pate de noisette",TRIM($AA56)="puree de noisette",TRIM($AA56)="pate de noisette"),ISNUMBER(SEARCH(" macaron ",$AA56)),TRIM($AA56)="fruits a coque")),"X",IF(OR(BQ56="?",OR(ISNUMBER(SEARCH(" sirop d orgeat ",$AA56)),ISNUMBER(SEARCH(" orgeat ",$AA56)),ISNUMBER(SEARCH(" amaretto ",$AA56)))),"?",""))),"")</f>
        <v/>
      </c>
      <c r="M56" s="233" t="str">
        <f>IF(56=56,IF($B56="","",IF(OR(OR(TRIM($AA56)="puree pate d amande",TRIM($AA56)="pate puree d amande",TRIM($AA56)="puree d amande",TRIM($AA56)="pate d amande",TRIM($AA56)="pate puree de noisette",TRIM($AA56)="puree pate de noisette",TRIM($AA56)="puree de noisette",TRIM($AA56)="pate de noisette"),OR(TRIM($AA56)="tahini puree de sesame",TRIM($AA56)="tahini",TRIM($AA56)="puree de sesame")),"",IF(BT56="X","X",IF(OR(BT56="?",ISNUMBER(SEARCH(" bloody mary ",$AA56))),"?","")))),"")</f>
        <v/>
      </c>
      <c r="N56" s="233" t="str">
        <f>IF(56=56,IF($B56="","",IF(OR(OR(TRIM($AA56)="puree pate d amande",TRIM($AA56)="pate puree d amande",TRIM($AA56)="puree d amande",TRIM($AA56)="pate d amande",TRIM($AA56)="pate puree de noisette",TRIM($AA56)="puree pate de noisette",TRIM($AA56)="puree de noisette",TRIM($AA56)="pate de noisette"),OR(TRIM($AA56)="tahini puree de sesame",TRIM($AA56)="tahini",TRIM($AA56)="puree de sesame")),"",IF(BW56="X","X",IF(OR(BW56="?",ISNUMBER(SEARCH(" bloody mary ",$AA56))),"?","")))),"")</f>
        <v/>
      </c>
      <c r="O56" s="233" t="str">
        <f>IF(56=56,IF($B56="","",BZ56),"")</f>
        <v/>
      </c>
      <c r="P56" s="233" t="str">
        <f>IF(56=56,IF($B56="","",CC56),"")</f>
        <v/>
      </c>
      <c r="Q56" s="233" t="str">
        <f>IF(56=56,IF($B56="","",CF56),"")</f>
        <v/>
      </c>
      <c r="R56" s="233" t="str">
        <f>IF(56=56,IF($B56="","",IF(TRIM($AA56)="fruits a coque","",IF(CL56="X","X",IF(OR(CL56="?",OR(ISNUMBER(SEARCH(" clamato ",$AA56)),ISNUMBER(SEARCH(" bloody caesar ",$AA56)))),"?","")))),"")</f>
        <v/>
      </c>
      <c r="S56" s="234" t="str">
        <f>IF(56=56,IF($B56="","",IF(E56="?",""&amp;"Céréales contenant du gluten","")&amp;IF(F56="?",IF(COUNTIF($E56:$E56,"~?")&gt;0,", ","")&amp;"Crustacés","")&amp;IF(G56="?",IF(COUNTIF($E56:$F56,"~?")&gt;0,", ","")&amp;"Œufs","")&amp;IF(H56="?",IF(COUNTIF($E56:$G56,"~?")&gt;0,", ","")&amp;"Poissons","")&amp;IF(I56="?",IF(COUNTIF($E56:$H56,"~?")&gt;0,", ","")&amp;"Arachides","")&amp;IF(J56="?",IF(COUNTIF($E56:$I56,"~?")&gt;0,", ","")&amp;"Soja","")&amp;IF(K56="?",IF(COUNTIF($E56:$J56,"~?")&gt;0,", ","")&amp;"Lait","")&amp;IF(L56="?",IF(COUNTIF($E56:$K56,"~?")&gt;0,", ","")&amp;"Fruits à coque","")&amp;IF(M56="?",IF(COUNTIF($E56:$L56,"~?")&gt;0,", ","")&amp;"Céleri","")&amp;IF(N56="?",IF(COUNTIF($E56:$M56,"~?")&gt;0,", ","")&amp;"Moutarde","")&amp;IF(O56="?",IF(COUNTIF($E56:$N56,"~?")&gt;0,", ","")&amp;"Sésame","")&amp;IF(P56="?",IF(COUNTIF($E56:$O56,"~?")&gt;0,", ","")&amp;"Sulfites","")&amp;IF(Q56="?",IF(COUNTIF($E56:$P56,"~?")&gt;0,", ","")&amp;"Lupin","")&amp;IF(R56="?",IF(COUNTIF($E56:$Q56,"~?")&gt;0,", ","")&amp;"Mollusques","")),"")</f>
        <v>Lait</v>
      </c>
      <c r="U56" s="209" t="str">
        <f>IF(56=56,IF($B56="","",$B56),"")</f>
        <v>Spiritueux aromatisé / arrangé / crème de spiritueux</v>
      </c>
      <c r="V56" s="209" t="str">
        <f>IF(56=56,LOWER(CLEAN(SUBSTITUTE(SUBSTITUTE(SUBSTITUTE(SUBSTITUTE($U56,CHAR(160)," ")," "," "),CHAR(10)," "),CHAR(13)," "))),"")</f>
        <v>spiritueux aromatisé / arrangé / crème de spiritueux</v>
      </c>
      <c r="W56" s="209" t="str">
        <f>IF(56=56,SUBSTITUTE(SUBSTITUTE(SUBSTITUTE(SUBSTITUTE(SUBSTITUTE(SUBSTITUTE(SUBSTITUTE(SUBSTITUTE(SUBSTITUTE(SUBSTITUTE(SUBSTITUTE(SUBSTITUTE($V56,"œ","oe"),"æ","ae"),"à","a"),"á","a"),"â","a"),"ä","a"),"ã","a"),"ç","c"),"è","e"),"é","e"),"ê","e"),"ë","e"),"")</f>
        <v>spiritueux aromatise / arrange / creme de spiritueux</v>
      </c>
      <c r="X56" s="209" t="str">
        <f>IF(56=56,SUBSTITUTE(SUBSTITUTE(SUBSTITUTE(SUBSTITUTE(SUBSTITUTE(SUBSTITUTE(SUBSTITUTE(SUBSTITUTE(SUBSTITUTE(SUBSTITUTE(SUBSTITUTE(SUBSTITUTE(SUBSTITUTE(SUBSTITUTE(SUBSTITUTE(SUBSTITUTE($W56,"ì","i"),"í","i"),"î","i"),"ï","i"),"ñ","n"),"ò","o"),"ó","o"),"ô","o"),"ö","o"),"õ","o"),"ù","u"),"ú","u"),"û","u"),"ü","u"),"ý","y"),"ÿ","y"),"")</f>
        <v>spiritueux aromatise / arrange / creme de spiritueux</v>
      </c>
      <c r="Y56" s="209" t="str">
        <f>IF(56=56,SUBSTITUTE(SUBSTITUTE(SUBSTITUTE(SUBSTITUTE(SUBSTITUTE(SUBSTITUTE(SUBSTITUTE(SUBSTITUTE(SUBSTITUTE(SUBSTITUTE(SUBSTITUTE(SUBSTITUTE(SUBSTITUTE(SUBSTITUTE($X56,"’"," "),"`"," "),"–"," "),"—"," "),"-"," "),"'"," "),"/"," "),"_"," "),","," "),"."," "),"("," "),")"," "),";"," "),":"," "),"")</f>
        <v>spiritueux aromatise   arrange   creme de spiritueux</v>
      </c>
      <c r="Z56" s="209" t="str">
        <f>IF(56=56,SUBSTITUTE(SUBSTITUTE(SUBSTITUTE(SUBSTITUTE(SUBSTITUTE(SUBSTITUTE(SUBSTITUTE(SUBSTITUTE(SUBSTITUTE(SUBSTITUTE(SUBSTITUTE(SUBSTITUTE(SUBSTITUTE(SUBSTITUTE(SUBSTITUTE($Y56,"!"," "),"?"," "),"+"," "),"*"," "),"&amp;"," "),"["," "),"]"," "),"{"," "),"}"," "),"%"," "),"="," "),"\"," "),"|"," "),"&lt;"," "),"&gt;"," "),"")</f>
        <v>spiritueux aromatise   arrange   creme de spiritueux</v>
      </c>
      <c r="AA56" s="209" t="str">
        <f>IF(56=56," "&amp;TRIM(SUBSTITUTE(SUBSTITUTE(SUBSTITUTE(SUBSTITUTE(SUBSTITUTE(SUBSTITUTE($Z56,CHAR(34)," "),"  "," "),"  "," "),"  "," "),"  "," "),"  "," "))&amp;" ","")</f>
        <v xml:space="preserve"> spiritueux aromatise arrange creme de spiritueux </v>
      </c>
      <c r="AB56" s="209">
        <f>IF(56=56,IF($U56="","",SUMPRODUCT(--ISNUMBER(SEARCH(" "&amp;$CR$2:$CR$101&amp;" ",$AD56)))),"")</f>
        <v>0</v>
      </c>
      <c r="AC56" s="209">
        <f>IF(56=56,IF($U56="","",SUMPRODUCT(--ISNUMBER(SEARCH(" "&amp;$CR$102:$CR$151&amp;" ",$AD56)))),"")</f>
        <v>0</v>
      </c>
      <c r="AD56" s="209" t="str">
        <f t="shared" si="1"/>
        <v xml:space="preserve"> spiritueux aromatise arrange creme de spiritueux </v>
      </c>
      <c r="AE56" s="209">
        <f t="shared" si="2"/>
        <v>0</v>
      </c>
      <c r="AF56" s="209" t="str">
        <f>IF(56=56,IF($U56="","",IF(SUM(AB56:AC56)+SUMPRODUCT(--ISNUMBER(SEARCH(" "&amp;$CR$2418:$CR$2420&amp;" ",$AD56)))&gt;0,"X",IF(AE56&gt;0,"?",""))),"")</f>
        <v/>
      </c>
      <c r="AG56" s="209">
        <f>IF(56=56,IF($U56="","",SUMPRODUCT(--ISNUMBER(SEARCH(" "&amp;$CR$206:$CR$305&amp;" ",$AA56)))),"")</f>
        <v>0</v>
      </c>
      <c r="AH56" s="209">
        <f>IF(56=56,IF($U56="","",SUMPRODUCT(--ISNUMBER(SEARCH(" "&amp;$CR$306:$CR$340&amp;" ",$AA56)))),"")</f>
        <v>0</v>
      </c>
      <c r="AI56" s="209" t="str">
        <f>IF(56=56,IF($U56="","",IF((SUM(AG56:AH56))-(0)&gt;0,"X",IF((0)-(0)&gt;0,"?",""))),"")</f>
        <v/>
      </c>
      <c r="AJ56" s="209">
        <f>IF(56=56,IF($U56="","",SUMPRODUCT(--ISNUMBER(SEARCH(" "&amp;$CR$341:$CR$398&amp;" ",$AA56)))),"")</f>
        <v>0</v>
      </c>
      <c r="AK56" s="209">
        <f>IF(56=56,IF($U56="","",SUMPRODUCT(--ISNUMBER(SEARCH(" "&amp;$CR$399:$CR$426&amp;" ",$AL56)))+SUMPRODUCT(--ISNUMBER(SEARCH(" "&amp;$CR$2440:$CR$2453&amp;" ",$AL56)))),"")</f>
        <v>0</v>
      </c>
      <c r="AL56" s="209" t="str">
        <f>IF(56=56,IF($U56="","",SUBSTITUTE(SUBSTITUTE(SUBSTITUTE(SUBSTITUTE(SUBSTITUTE(SUBSTITUTE(SUBSTITUTE(SUBSTITUTE(SUBSTITUTE(SUBSTITUTE(SUBSTITUTE(SUBSTITUTE(SUBSTITUTE(SUBSTITUTE($AA56,"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 xml:space="preserve"> spiritueux aromatise arrange creme de spiritueux </v>
      </c>
      <c r="AM56" s="209" t="str">
        <f>IF(56=56,IF($U56="","",IF(AJ56&gt;0,"X",IF(AK56&gt;0,"?",""))),"")</f>
        <v/>
      </c>
      <c r="AN56" s="209">
        <f>IF(56=56,IF($U56="","",SUMPRODUCT(--ISNUMBER(SEARCH(" "&amp;$CR$436:$CR$535&amp;" ",$AX56)))),"")</f>
        <v>0</v>
      </c>
      <c r="AO56" s="209">
        <f>IF(56=56,IF($U56="","",SUMPRODUCT(--ISNUMBER(SEARCH(" "&amp;$CR$536:$CR$635&amp;" ",$AX56)))),"")</f>
        <v>0</v>
      </c>
      <c r="AP56" s="209">
        <f>IF(56=56,IF($U56="","",SUMPRODUCT(--ISNUMBER(SEARCH(" "&amp;$CR$636:$CR$735&amp;" ",$AX56)))),"")</f>
        <v>0</v>
      </c>
      <c r="AQ56" s="209">
        <f>IF(56=56,IF($U56="","",SUMPRODUCT(--ISNUMBER(SEARCH(" "&amp;$CR$736:$CR$835&amp;" ",$AX56)))),"")</f>
        <v>0</v>
      </c>
      <c r="AR56" s="209">
        <f>IF(56=56,IF($U56="","",SUMPRODUCT(--ISNUMBER(SEARCH(" "&amp;$CR$836:$CR$935&amp;" ",$AX56)))),"")</f>
        <v>0</v>
      </c>
      <c r="AS56" s="209">
        <f>IF(56=56,IF($U56="","",SUMPRODUCT(--ISNUMBER(SEARCH(" "&amp;$CR$936:$CR$1035&amp;" ",$AX56)))),"")</f>
        <v>0</v>
      </c>
      <c r="AT56" s="209">
        <f>IF(56=56,IF($U56="","",SUMPRODUCT(--ISNUMBER(SEARCH(" "&amp;$CR$1036:$CR$1135&amp;" ",$AX56)))),"")</f>
        <v>0</v>
      </c>
      <c r="AU56" s="209">
        <f>IF(56=56,IF($U56="","",SUMPRODUCT(--ISNUMBER(SEARCH(" "&amp;$CR$1136:$CR$1235&amp;" ",$AX56)))),"")</f>
        <v>0</v>
      </c>
      <c r="AV56" s="209">
        <f>IF(56=56,IF($U56="","",SUMPRODUCT(--ISNUMBER(SEARCH(" "&amp;$CR$1236:$CR$1335&amp;" ",$AX56)))),"")</f>
        <v>0</v>
      </c>
      <c r="AW56" s="209">
        <f>IF(56=56,IF($U56="","",SUMPRODUCT(--ISNUMBER(SEARCH(" "&amp;$CR$1336:$CR$1363&amp;" ",$AX56)))),"")</f>
        <v>0</v>
      </c>
      <c r="AX56" s="209" t="str">
        <f>IF(56=56,IF($U56="","",SUBSTITUTE(SUBSTITUTE(SUBSTITUTE(SUBSTITUTE(SUBSTITUTE(SUBSTITUTE(SUBSTITUTE(SUBSTITUTE(SUBSTITUTE($AA56,"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 xml:space="preserve"> spiritueux aromatise arrange creme de spiritueux </v>
      </c>
      <c r="AY56" s="209">
        <f>IF(56=56,IF($U56="","",SUMPRODUCT(--ISNUMBER(SEARCH(" "&amp;$CR$1373:$CR$1383&amp;" ",$AX56)))),"")</f>
        <v>0</v>
      </c>
      <c r="AZ56" s="209" t="str">
        <f>IF(56=56,IF($U56="","",IF(SUM(AN56:AW56)+SUMPRODUCT(--ISNUMBER(SEARCH(" "&amp;$CR$2421:$CR$2422&amp;" ",$AX56)))&gt;0,"X",IF(AY56&gt;0,"?",""))),"")</f>
        <v/>
      </c>
      <c r="BA56" s="209">
        <f>IF(56=56,IF($U56="","",SUMPRODUCT(--ISNUMBER(SEARCH(" "&amp;$CR$1384:$CR$1404&amp;" ",$AA56)))),"")</f>
        <v>0</v>
      </c>
      <c r="BB56" s="209" t="str">
        <f>IF(56=56,IF($U56="","",IF((BA56)-(0)&gt;0,"X",IF((0)-(0)&gt;0,"?",""))),"")</f>
        <v/>
      </c>
      <c r="BC56" s="209">
        <f>IF(56=56,IF($U56="","",SUMPRODUCT(--ISNUMBER(SEARCH(" "&amp;$CR$1405:$CR$1442&amp;" ",$BD56)))),"")</f>
        <v>0</v>
      </c>
      <c r="BD56" s="209" t="str">
        <f>IF(56=56,IF($U56="","",SUBSTITUTE(SUBSTITUTE($AA56," "&amp;$CR$1443&amp;" "," ")," "&amp;$CR$1444&amp;" "," ")),"")</f>
        <v xml:space="preserve"> spiritueux aromatise arrange creme de spiritueux </v>
      </c>
      <c r="BE56" s="209">
        <f>IF(56=56,IF($U56="","",SUMPRODUCT(--ISNUMBER(SEARCH(" "&amp;$CR$1445:$CR$1455&amp;" ",$BD56)))),"")</f>
        <v>0</v>
      </c>
      <c r="BF56" s="209" t="str">
        <f>IF(56=56,IF($U56="","",IF(BC56&gt;0,"X",IF(BE56&gt;0,"?",""))),"")</f>
        <v/>
      </c>
      <c r="BG56" s="209">
        <f>IF(56=56,IF($U56="","",SUMPRODUCT(--ISNUMBER(SEARCH(" "&amp;$CR$1456:$CR$1555&amp;" ",$BJ56)))),"")</f>
        <v>1</v>
      </c>
      <c r="BH56" s="209">
        <f>IF(56=56,IF($U56="","",SUMPRODUCT(--ISNUMBER(SEARCH(" "&amp;$CR$1556:$CR$1655&amp;" ",$BJ56)))),"")</f>
        <v>0</v>
      </c>
      <c r="BI56" s="209">
        <f>IF(56=56,IF($U56="","",SUMPRODUCT(--ISNUMBER(SEARCH(" "&amp;$CR$1656:$CR$1739&amp;" ",$BJ56)))),"")</f>
        <v>0</v>
      </c>
      <c r="BJ56" s="209" t="str">
        <f>IF(56=56,IF($U56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56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 xml:space="preserve"> spiritueux aromatise arrange creme de spiritueux </v>
      </c>
      <c r="BK56" s="209">
        <f>IF(56=56,IF($U56="","",SUMPRODUCT(--ISNUMBER(SEARCH(" "&amp;$CR$1790:$CR$1869&amp;" ",$BL56)))+SUMPRODUCT(--ISNUMBER(SEARCH(" "&amp;$CR$2440:$CR$2453&amp;" ",$BL56)))),"")</f>
        <v>0</v>
      </c>
      <c r="BL56" s="209" t="str">
        <f>IF(56=56,IF($U56="","",SUBSTITUTE(SUBSTITUTE(SUBSTITUTE(SUBSTITUTE(SUBSTITUTE(SUBSTITUTE(SUBSTITUTE(SUBSTITUTE(SUBSTITUTE(SUBSTITUTE(SUBSTITUTE(SUBSTITUTE(SUBSTITUTE($BJ56,"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 xml:space="preserve"> spiritueux aromatise arrange creme de spiritueux </v>
      </c>
      <c r="BM56" s="209" t="str">
        <f>IF(56=56,IF($U56="","",IF(SUM(BG56:BI56)+SUMPRODUCT(--ISNUMBER(SEARCH(" "&amp;$CR$2423:$CR$2424&amp;" ",$BJ56)))&gt;0,"X",IF(BK56&gt;0,"?",""))),"")</f>
        <v>X</v>
      </c>
      <c r="BN56" s="209">
        <f>IF(56=56,IF($U56="","",SUMPRODUCT(--ISNUMBER(SEARCH(" "&amp;$CR$1879:$CR$1936&amp;" ",$BO56)))),"")</f>
        <v>0</v>
      </c>
      <c r="BO56" s="209" t="str">
        <f>IF(56=56,IF($U56="","",SUBSTITUTE(SUBSTITUTE(SUBSTITUTE(SUBSTITUTE(SUBSTITUTE(SUBSTITUTE(SUBSTITUTE(SUBSTITUTE(SUBSTITUTE(SUBSTITUTE(SUBSTITUTE(SUBSTITUTE(SUBSTITUTE(SUBSTITUTE(SUBSTITUTE(SUBSTITUTE(SUBSTITUTE(SUBSTITUTE(SUBSTITUTE(SUBSTITUTE(SUBSTITUTE(SUBSTITUTE(SUBSTITUTE($AA56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 xml:space="preserve"> spiritueux aromatise arrange creme de spiritueux </v>
      </c>
      <c r="BP56" s="209">
        <f>IF(56=56,IF($U56="","",SUMPRODUCT(--ISNUMBER(SEARCH(" "&amp;$CR$1960:$CR$1976&amp;" ",$BO56)))),"")</f>
        <v>0</v>
      </c>
      <c r="BQ56" s="209" t="str">
        <f>IF(56=56,IF($U56="","",IF(BN56&gt;0,"X",IF(BP56&gt;0,"?",""))),"")</f>
        <v/>
      </c>
      <c r="BR56" s="209">
        <f>IF(56=56,IF($U56="","",SUMPRODUCT(--ISNUMBER(SEARCH(" "&amp;$CR$1977:$CR$1990&amp;" ",$AA56)))),"")</f>
        <v>0</v>
      </c>
      <c r="BS56" s="209">
        <f>IF(56=56,IF($U56="","",SUMPRODUCT(--ISNUMBER(SEARCH(" "&amp;$CR$1991:$CR$2005&amp;" ",$AA56)))),"")</f>
        <v>0</v>
      </c>
      <c r="BT56" s="209" t="str">
        <f>IF(56=56,IF($U56="","",IF((BR56)-(0)&gt;0,"X",IF((BS56)-(0)&gt;0,"?",""))),"")</f>
        <v/>
      </c>
      <c r="BU56" s="209">
        <f>IF(56=56,IF($U56="","",SUMPRODUCT(--ISNUMBER(SEARCH(" "&amp;$CR$2006:$CR$2023&amp;" ",$AA56)))),"")</f>
        <v>0</v>
      </c>
      <c r="BV56" s="209">
        <f>IF(56=56,IF($U56="","",SUMPRODUCT(--ISNUMBER(SEARCH(" "&amp;$CR$2024:$CR$2038&amp;" ",$AA56)))),"")</f>
        <v>0</v>
      </c>
      <c r="BW56" s="209" t="str">
        <f>IF(56=56,IF($U56="","",IF((BU56)-(0)&gt;0,"X",IF((BV56)-(0)&gt;0,"?",""))),"")</f>
        <v/>
      </c>
      <c r="BX56" s="209">
        <f>IF(56=56,IF($U56="","",SUMPRODUCT(--ISNUMBER(SEARCH(" "&amp;$CR$2039:$CR$2057&amp;" ",$AA56)))),"")</f>
        <v>0</v>
      </c>
      <c r="BY56" s="209">
        <f>IF(56=56,IF($U56="","",SUMPRODUCT(--ISNUMBER(SEARCH(" "&amp;$CR$2058:$CR$2072&amp;" ",$AA56)))),"")</f>
        <v>0</v>
      </c>
      <c r="BZ56" s="209" t="str">
        <f>IF(56=56,IF($U56="","",IF((BX56)-(0)&gt;0,"X",IF((BY56)-(0)&gt;0,"?",""))),"")</f>
        <v/>
      </c>
      <c r="CA56" s="209">
        <f>IF(56=56,IF($U56="","",SUMPRODUCT(--ISNUMBER(SEARCH(" "&amp;$CR$2073:$CR$2093&amp;" ",$AA56)))),"")</f>
        <v>0</v>
      </c>
      <c r="CB56" s="209">
        <f>IF(56=56,IF($U56="","",SUMPRODUCT(--ISNUMBER(SEARCH(" "&amp;$CR$2094:$CR$2133&amp;" ",SUBSTITUTE(SUBSTITUTE($AA56," "&amp;$CR$1367&amp;" "," ")," "&amp;$CR$1366&amp;" "," "))))+--ISNUMBER(SEARCH("poiré",$V56))),"")</f>
        <v>0</v>
      </c>
      <c r="CC56" s="209" t="str">
        <f>IF(56=56,IF($U56="","",IF(OR(CA56&gt;0,ISNUMBER(SEARCH(" vinaigre de vin ",$AA56)),ISNUMBER(SEARCH(" vinaigre au vin ",$AA56))),"X",IF(CB56&gt;0,"?",""))),"")</f>
        <v/>
      </c>
      <c r="CD56" s="209">
        <f>IF(56=56,IF($U56="","",SUMPRODUCT(--ISNUMBER(SEARCH(" "&amp;$CR$2134:$CR$2146&amp;" ",$AA56)))),"")</f>
        <v>0</v>
      </c>
      <c r="CE56" s="209">
        <f>IF(56=56,IF($U56="","",SUMPRODUCT(--ISNUMBER(SEARCH(" "&amp;$CR$2147:$CR$2152&amp;" ",$AA56)))),"")</f>
        <v>0</v>
      </c>
      <c r="CF56" s="209" t="str">
        <f>IF(56=56,IF($U56="","",IF((CD56)-(0)&gt;0,"X",IF((CE56)-(0)&gt;0,"?",""))),"")</f>
        <v/>
      </c>
      <c r="CG56" s="209">
        <f>IF(56=56,IF($U56="","",SUMPRODUCT(--ISNUMBER(SEARCH(" "&amp;$CR$2153:$CR$2252&amp;" ",$CJ56)))),"")</f>
        <v>0</v>
      </c>
      <c r="CH56" s="209">
        <f>IF(56=56,IF($U56="","",SUMPRODUCT(--ISNUMBER(SEARCH(" "&amp;$CR$2253:$CR$2352&amp;" ",$CJ56)))),"")</f>
        <v>0</v>
      </c>
      <c r="CI56" s="209">
        <f>IF(56=56,IF($U56="","",SUMPRODUCT(--ISNUMBER(SEARCH(" "&amp;$CR$2353:$CR$2395&amp;" ",$CJ56)))),"")</f>
        <v>0</v>
      </c>
      <c r="CJ56" s="209" t="str">
        <f>IF(56=56,IF($U56="","",SUBSTITUTE(SUBSTITUTE(SUBSTITUTE(SUBSTITUTE(SUBSTITUTE(SUBSTITUTE(SUBSTITUTE(SUBSTITUTE(SUBSTITUTE(SUBSTITUTE(SUBSTITUTE(SUBSTITUTE(SUBSTITUTE(SUBSTITUTE(SUBSTITUTE(SUBSTITUTE($AA56,"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 xml:space="preserve"> spiritueux aromatise arrange creme de spiritueux </v>
      </c>
      <c r="CK56" s="209">
        <f>IF(56=56,IF($U56="","",SUMPRODUCT(--ISNUMBER(SEARCH(" "&amp;$CR$2412:$CR$2416&amp;" ",$CJ56)))),"")</f>
        <v>0</v>
      </c>
      <c r="CL56" s="209" t="str">
        <f>IF(56=56,IF($U56="","",IF(SUM(CG56:CI56)&gt;0,"X",IF(CK56&gt;0,"?",""))),"")</f>
        <v/>
      </c>
      <c r="CM56" s="210"/>
      <c r="CN56" s="213" t="s">
        <v>1092</v>
      </c>
      <c r="CO56" s="213" t="s">
        <v>878</v>
      </c>
      <c r="CP56" s="213" t="s">
        <v>879</v>
      </c>
      <c r="CQ56" s="213" t="s">
        <v>1093</v>
      </c>
      <c r="CR56" s="213" t="s">
        <v>1093</v>
      </c>
      <c r="CS56" s="213" t="s">
        <v>881</v>
      </c>
      <c r="CT56" s="213" t="s">
        <v>882</v>
      </c>
      <c r="CU56" s="213" t="s">
        <v>883</v>
      </c>
      <c r="CV56" s="214" t="s">
        <v>884</v>
      </c>
      <c r="CX56" s="212">
        <v>1</v>
      </c>
    </row>
    <row r="57" spans="1:102" ht="21" customHeight="1">
      <c r="A57" s="229">
        <v>51</v>
      </c>
      <c r="B57" s="230"/>
      <c r="C57" s="231" t="str">
        <f t="shared" si="0"/>
        <v/>
      </c>
      <c r="D57" s="232" t="str">
        <f>IF(57=57,IF($B57="","",IF(E57="X",""&amp;"Céréales contenant du gluten","")&amp;IF(F57="X",IF(COUNTIF($E57:$E57,"X")&gt;0,", ","")&amp;"Crustacés","")&amp;IF(G57="X",IF(COUNTIF($E57:$F57,"X")&gt;0,", ","")&amp;"Œufs","")&amp;IF(H57="X",IF(COUNTIF($E57:$G57,"X")&gt;0,", ","")&amp;"Poissons","")&amp;IF(I57="X",IF(COUNTIF($E57:$H57,"X")&gt;0,", ","")&amp;"Arachides","")&amp;IF(J57="X",IF(COUNTIF($E57:$I57,"X")&gt;0,", ","")&amp;"Soja","")&amp;IF(K57="X",IF(COUNTIF($E57:$J57,"X")&gt;0,", ","")&amp;"Lait","")&amp;IF(L57="X",IF(COUNTIF($E57:$K57,"X")&gt;0,", ","")&amp;"Fruits à coque","")&amp;IF(M57="X",IF(COUNTIF($E57:$L57,"X")&gt;0,", ","")&amp;"Céleri","")&amp;IF(N57="X",IF(COUNTIF($E57:$M57,"X")&gt;0,", ","")&amp;"Moutarde","")&amp;IF(O57="X",IF(COUNTIF($E57:$N57,"X")&gt;0,", ","")&amp;"Sésame","")&amp;IF(P57="X",IF(COUNTIF($E57:$O57,"X")&gt;0,", ","")&amp;"Sulfites","")&amp;IF(Q57="X",IF(COUNTIF($E57:$P57,"X")&gt;0,", ","")&amp;"Lupin","")&amp;IF(R57="X",IF(COUNTIF($E57:$Q57,"X")&gt;0,", ","")&amp;"Mollusques","")),"")</f>
        <v/>
      </c>
      <c r="E57" s="233" t="str">
        <f>IF(57=57,IF($B57="","",IF(OR(ISNUMBER(SEARCH(" biere sans gluten ",$AA57)),ISNUMBER(SEARCH(" gluten free beer ",$AA57)),ISNUMBER(SEARCH(" beer gluten free ",$AA57))),"",IF(AF57="X","X",IF(OR(AF57="?",OR(ISNUMBER(SEARCH(" worcestershire ",$AA57)),ISNUMBER(SEARCH(" bloody mary ",$AA57)))),"?","")))),"")</f>
        <v/>
      </c>
      <c r="F57" s="233" t="str">
        <f>IF(57=57,IF($B57="","",AI57),"")</f>
        <v/>
      </c>
      <c r="G57" s="233" t="str">
        <f>IF(57=57,IF($B57="","",IF(OR(TRIM($AA57)="puree pate d amande",TRIM($AA57)="pate puree d amande",TRIM($AA57)="puree d amande",TRIM($AA57)="pate d amande",TRIM($AA57)="pate puree de noisette",TRIM($AA57)="puree pate de noisette",TRIM($AA57)="puree de noisette",TRIM($AA57)="pate de noisette"),"",IF(OR(AM57="X",OR(ISNUMBER(SEARCH(" macaron ",$AA57)),ISNUMBER(SEARCH(" egg nog ",$AA57)),ISNUMBER(SEARCH(" eggnog ",$AA57)))),"X",IF(OR(AM57="?",OR(ISNUMBER(SEARCH(" biscuit decoratif ",$AA57)),ISNUMBER(SEARCH(" whisky sour ",$AA57)),ISNUMBER(SEARCH(" whiskey sour ",$AA57)),ISNUMBER(SEARCH(" amaretto sour ",$AA57)),ISNUMBER(SEARCH(" pisco sour ",$AA57)),ISNUMBER(SEARCH(" clover club ",$AA57)),ISNUMBER(SEARCH(" ramos gin fizz ",$AA57)))),"?","")))),"")</f>
        <v/>
      </c>
      <c r="H57" s="233" t="str">
        <f>IF(57=57,IF($B57="","",IF(ISNUMBER(SEARCH(" colin ",$AA57)),"X",IF(AZ57="X","X",IF(OR(AZ57="?",OR(ISNUMBER(SEARCH(" worcestershire ",$AA57)),ISNUMBER(SEARCH(" bloody mary ",$AA57)))),"?","")))),"")</f>
        <v/>
      </c>
      <c r="I57" s="233" t="str">
        <f>IF(57=57,IF($B57="","",BB57),"")</f>
        <v/>
      </c>
      <c r="J57" s="233" t="str">
        <f>IF(57=57,IF($B57="","",BF57),"")</f>
        <v/>
      </c>
      <c r="K57" s="233" t="str">
        <f>IF(57=57,IF($B57="","",IF(OR(OR(TRIM($AA57)="puree pate d amande",TRIM($AA57)="pate puree d amande",TRIM($AA57)="puree d amande",TRIM($AA57)="pate d amande",TRIM($AA57)="pate puree de noisette",TRIM($AA57)="puree pate de noisette",TRIM($AA57)="puree de noisette",TRIM($AA57)="pate de noisette"),OR(TRIM($AA57)="beurre puree d arachide",TRIM($AA57)="beurre d arachide",TRIM($AA57)="puree d arachide"),OR(TRIM($AA57)="tahini puree de sesame",TRIM($AA57)="tahini",TRIM($AA57)="puree de sesame")),"",IF(OR(TRIM($AA57)="creme de cassis",TRIM($AA57)="creme de menthe",TRIM($AA57)="creme de cacao",TRIM($AA57)="creme de mure",TRIM($AA57)="creme de framboise",TRIM($AA57)="creme de peche",TRIM($AA57)="creme de banane",TRIM($AA57)="liqueur creme de coco",TRIM($AA57)="creme de coco",TRIM($AA57)="spiritueux aromatise arrange creme de spiritueux"),"?",IF(OR(BM57="X",OR(ISNUMBER(SEARCH(" baileys ",$AA57)),ISNUMBER(SEARCH(" irish cream ",$AA57)),ISNUMBER(SEARCH(" creme de whisky ",$AA57)))),"X",IF(OR(BM57="?",OR(OR(TRIM($AA57)="creme de cassis",TRIM($AA57)="creme de menthe",TRIM($AA57)="creme de cacao",TRIM($AA57)="creme de mure",TRIM($AA57)="creme de framboise",TRIM($AA57)="creme de peche",TRIM($AA57)="creme de banane",TRIM($AA57)="liqueur creme de coco",TRIM($AA57)="creme de coco",TRIM($AA57)="spiritueux aromatise arrange creme de spiritueux"),ISNUMBER(SEARCH(" advocaat ",$AA57)),ISNUMBER(SEARCH(" liqueur aux oeufs ",$AA57)),ISNUMBER(SEARCH(" liqueur de chocolat ",$AA57)),ISNUMBER(SEARCH(" liqueur de caramel ",$AA57)),ISNUMBER(SEARCH(" sauce nappage chocolat ",$AA57)),ISNUMBER(SEARCH(" biscuit decoratif ",$AA57)),ISNUMBER(SEARCH(" white russian ",$AA57)),ISNUMBER(SEARCH(" grasshopper ",$AA57)),ISNUMBER(SEARCH(" irish coffee ",$AA57)),ISNUMBER(SEARCH(" ramos gin fizz ",$AA57)),ISNUMBER(SEARCH(" egg nog ",$AA57)),ISNUMBER(SEARCH(" eggnog ",$AA57)))),"?",""))))),"")</f>
        <v/>
      </c>
      <c r="L57" s="233" t="str">
        <f>IF(57=57,IF($B57="","",IF(OR(BQ57="X",OR(OR(TRIM($AA57)="puree pate d amande",TRIM($AA57)="pate puree d amande",TRIM($AA57)="puree d amande",TRIM($AA57)="pate d amande",TRIM($AA57)="pate puree de noisette",TRIM($AA57)="puree pate de noisette",TRIM($AA57)="puree de noisette",TRIM($AA57)="pate de noisette"),ISNUMBER(SEARCH(" macaron ",$AA57)),TRIM($AA57)="fruits a coque")),"X",IF(OR(BQ57="?",OR(ISNUMBER(SEARCH(" sirop d orgeat ",$AA57)),ISNUMBER(SEARCH(" orgeat ",$AA57)),ISNUMBER(SEARCH(" amaretto ",$AA57)))),"?",""))),"")</f>
        <v/>
      </c>
      <c r="M57" s="233" t="str">
        <f>IF(57=57,IF($B57="","",IF(OR(OR(TRIM($AA57)="puree pate d amande",TRIM($AA57)="pate puree d amande",TRIM($AA57)="puree d amande",TRIM($AA57)="pate d amande",TRIM($AA57)="pate puree de noisette",TRIM($AA57)="puree pate de noisette",TRIM($AA57)="puree de noisette",TRIM($AA57)="pate de noisette"),OR(TRIM($AA57)="tahini puree de sesame",TRIM($AA57)="tahini",TRIM($AA57)="puree de sesame")),"",IF(BT57="X","X",IF(OR(BT57="?",ISNUMBER(SEARCH(" bloody mary ",$AA57))),"?","")))),"")</f>
        <v/>
      </c>
      <c r="N57" s="233" t="str">
        <f>IF(57=57,IF($B57="","",IF(OR(OR(TRIM($AA57)="puree pate d amande",TRIM($AA57)="pate puree d amande",TRIM($AA57)="puree d amande",TRIM($AA57)="pate d amande",TRIM($AA57)="pate puree de noisette",TRIM($AA57)="puree pate de noisette",TRIM($AA57)="puree de noisette",TRIM($AA57)="pate de noisette"),OR(TRIM($AA57)="tahini puree de sesame",TRIM($AA57)="tahini",TRIM($AA57)="puree de sesame")),"",IF(BW57="X","X",IF(OR(BW57="?",ISNUMBER(SEARCH(" bloody mary ",$AA57))),"?","")))),"")</f>
        <v/>
      </c>
      <c r="O57" s="233" t="str">
        <f>IF(57=57,IF($B57="","",BZ57),"")</f>
        <v/>
      </c>
      <c r="P57" s="233" t="str">
        <f>IF(57=57,IF($B57="","",CC57),"")</f>
        <v/>
      </c>
      <c r="Q57" s="233" t="str">
        <f>IF(57=57,IF($B57="","",CF57),"")</f>
        <v/>
      </c>
      <c r="R57" s="233" t="str">
        <f>IF(57=57,IF($B57="","",IF(TRIM($AA57)="fruits a coque","",IF(CL57="X","X",IF(OR(CL57="?",OR(ISNUMBER(SEARCH(" clamato ",$AA57)),ISNUMBER(SEARCH(" bloody caesar ",$AA57)))),"?","")))),"")</f>
        <v/>
      </c>
      <c r="S57" s="234" t="str">
        <f>IF(57=57,IF($B57="","",IF(E57="?",""&amp;"Céréales contenant du gluten","")&amp;IF(F57="?",IF(COUNTIF($E57:$E57,"~?")&gt;0,", ","")&amp;"Crustacés","")&amp;IF(G57="?",IF(COUNTIF($E57:$F57,"~?")&gt;0,", ","")&amp;"Œufs","")&amp;IF(H57="?",IF(COUNTIF($E57:$G57,"~?")&gt;0,", ","")&amp;"Poissons","")&amp;IF(I57="?",IF(COUNTIF($E57:$H57,"~?")&gt;0,", ","")&amp;"Arachides","")&amp;IF(J57="?",IF(COUNTIF($E57:$I57,"~?")&gt;0,", ","")&amp;"Soja","")&amp;IF(K57="?",IF(COUNTIF($E57:$J57,"~?")&gt;0,", ","")&amp;"Lait","")&amp;IF(L57="?",IF(COUNTIF($E57:$K57,"~?")&gt;0,", ","")&amp;"Fruits à coque","")&amp;IF(M57="?",IF(COUNTIF($E57:$L57,"~?")&gt;0,", ","")&amp;"Céleri","")&amp;IF(N57="?",IF(COUNTIF($E57:$M57,"~?")&gt;0,", ","")&amp;"Moutarde","")&amp;IF(O57="?",IF(COUNTIF($E57:$N57,"~?")&gt;0,", ","")&amp;"Sésame","")&amp;IF(P57="?",IF(COUNTIF($E57:$O57,"~?")&gt;0,", ","")&amp;"Sulfites","")&amp;IF(Q57="?",IF(COUNTIF($E57:$P57,"~?")&gt;0,", ","")&amp;"Lupin","")&amp;IF(R57="?",IF(COUNTIF($E57:$Q57,"~?")&gt;0,", ","")&amp;"Mollusques","")),"")</f>
        <v/>
      </c>
      <c r="U57" s="209" t="str">
        <f>IF(57=57,IF($B57="","",$B57),"")</f>
        <v/>
      </c>
      <c r="V57" s="209" t="str">
        <f>IF(57=57,LOWER(CLEAN(SUBSTITUTE(SUBSTITUTE(SUBSTITUTE(SUBSTITUTE($U57,CHAR(160)," ")," "," "),CHAR(10)," "),CHAR(13)," "))),"")</f>
        <v/>
      </c>
      <c r="W57" s="209" t="str">
        <f>IF(57=57,SUBSTITUTE(SUBSTITUTE(SUBSTITUTE(SUBSTITUTE(SUBSTITUTE(SUBSTITUTE(SUBSTITUTE(SUBSTITUTE(SUBSTITUTE(SUBSTITUTE(SUBSTITUTE(SUBSTITUTE($V57,"œ","oe"),"æ","ae"),"à","a"),"á","a"),"â","a"),"ä","a"),"ã","a"),"ç","c"),"è","e"),"é","e"),"ê","e"),"ë","e"),"")</f>
        <v/>
      </c>
      <c r="X57" s="209" t="str">
        <f>IF(57=57,SUBSTITUTE(SUBSTITUTE(SUBSTITUTE(SUBSTITUTE(SUBSTITUTE(SUBSTITUTE(SUBSTITUTE(SUBSTITUTE(SUBSTITUTE(SUBSTITUTE(SUBSTITUTE(SUBSTITUTE(SUBSTITUTE(SUBSTITUTE(SUBSTITUTE(SUBSTITUTE($W57,"ì","i"),"í","i"),"î","i"),"ï","i"),"ñ","n"),"ò","o"),"ó","o"),"ô","o"),"ö","o"),"õ","o"),"ù","u"),"ú","u"),"û","u"),"ü","u"),"ý","y"),"ÿ","y"),"")</f>
        <v/>
      </c>
      <c r="Y57" s="209" t="str">
        <f>IF(57=57,SUBSTITUTE(SUBSTITUTE(SUBSTITUTE(SUBSTITUTE(SUBSTITUTE(SUBSTITUTE(SUBSTITUTE(SUBSTITUTE(SUBSTITUTE(SUBSTITUTE(SUBSTITUTE(SUBSTITUTE(SUBSTITUTE(SUBSTITUTE($X57,"’"," "),"`"," "),"–"," "),"—"," "),"-"," "),"'"," "),"/"," "),"_"," "),","," "),"."," "),"("," "),")"," "),";"," "),":"," "),"")</f>
        <v/>
      </c>
      <c r="Z57" s="209" t="str">
        <f>IF(57=57,SUBSTITUTE(SUBSTITUTE(SUBSTITUTE(SUBSTITUTE(SUBSTITUTE(SUBSTITUTE(SUBSTITUTE(SUBSTITUTE(SUBSTITUTE(SUBSTITUTE(SUBSTITUTE(SUBSTITUTE(SUBSTITUTE(SUBSTITUTE(SUBSTITUTE($Y57,"!"," "),"?"," "),"+"," "),"*"," "),"&amp;"," "),"["," "),"]"," "),"{"," "),"}"," "),"%"," "),"="," "),"\"," "),"|"," "),"&lt;"," "),"&gt;"," "),"")</f>
        <v/>
      </c>
      <c r="AA57" s="209" t="str">
        <f>IF(57=57," "&amp;TRIM(SUBSTITUTE(SUBSTITUTE(SUBSTITUTE(SUBSTITUTE(SUBSTITUTE(SUBSTITUTE($Z57,CHAR(34)," "),"  "," "),"  "," "),"  "," "),"  "," "),"  "," "))&amp;" ","")</f>
        <v xml:space="preserve">  </v>
      </c>
      <c r="AB57" s="209" t="str">
        <f>IF(57=57,IF($U57="","",SUMPRODUCT(--ISNUMBER(SEARCH(" "&amp;$CR$2:$CR$101&amp;" ",$AD57)))),"")</f>
        <v/>
      </c>
      <c r="AC57" s="209" t="str">
        <f>IF(57=57,IF($U57="","",SUMPRODUCT(--ISNUMBER(SEARCH(" "&amp;$CR$102:$CR$151&amp;" ",$AD57)))),"")</f>
        <v/>
      </c>
      <c r="AD57" s="209" t="str">
        <f t="shared" si="1"/>
        <v/>
      </c>
      <c r="AE57" s="209" t="str">
        <f t="shared" si="2"/>
        <v/>
      </c>
      <c r="AF57" s="209" t="str">
        <f>IF(57=57,IF($U57="","",IF(SUM(AB57:AC57)+SUMPRODUCT(--ISNUMBER(SEARCH(" "&amp;$CR$2418:$CR$2420&amp;" ",$AD57)))&gt;0,"X",IF(AE57&gt;0,"?",""))),"")</f>
        <v/>
      </c>
      <c r="AG57" s="209" t="str">
        <f>IF(57=57,IF($U57="","",SUMPRODUCT(--ISNUMBER(SEARCH(" "&amp;$CR$206:$CR$305&amp;" ",$AA57)))),"")</f>
        <v/>
      </c>
      <c r="AH57" s="209" t="str">
        <f>IF(57=57,IF($U57="","",SUMPRODUCT(--ISNUMBER(SEARCH(" "&amp;$CR$306:$CR$340&amp;" ",$AA57)))),"")</f>
        <v/>
      </c>
      <c r="AI57" s="209" t="str">
        <f>IF(57=57,IF($U57="","",IF((SUM(AG57:AH57))-(0)&gt;0,"X",IF((0)-(0)&gt;0,"?",""))),"")</f>
        <v/>
      </c>
      <c r="AJ57" s="209" t="str">
        <f>IF(57=57,IF($U57="","",SUMPRODUCT(--ISNUMBER(SEARCH(" "&amp;$CR$341:$CR$398&amp;" ",$AA57)))),"")</f>
        <v/>
      </c>
      <c r="AK57" s="209" t="str">
        <f>IF(57=57,IF($U57="","",SUMPRODUCT(--ISNUMBER(SEARCH(" "&amp;$CR$399:$CR$426&amp;" ",$AL57)))+SUMPRODUCT(--ISNUMBER(SEARCH(" "&amp;$CR$2440:$CR$2453&amp;" ",$AL57)))),"")</f>
        <v/>
      </c>
      <c r="AL57" s="209" t="str">
        <f>IF(57=57,IF($U57="","",SUBSTITUTE(SUBSTITUTE(SUBSTITUTE(SUBSTITUTE(SUBSTITUTE(SUBSTITUTE(SUBSTITUTE(SUBSTITUTE(SUBSTITUTE(SUBSTITUTE(SUBSTITUTE(SUBSTITUTE(SUBSTITUTE(SUBSTITUTE($AA57,"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/>
      </c>
      <c r="AM57" s="209" t="str">
        <f>IF(57=57,IF($U57="","",IF(AJ57&gt;0,"X",IF(AK57&gt;0,"?",""))),"")</f>
        <v/>
      </c>
      <c r="AN57" s="209" t="str">
        <f>IF(57=57,IF($U57="","",SUMPRODUCT(--ISNUMBER(SEARCH(" "&amp;$CR$436:$CR$535&amp;" ",$AX57)))),"")</f>
        <v/>
      </c>
      <c r="AO57" s="209" t="str">
        <f>IF(57=57,IF($U57="","",SUMPRODUCT(--ISNUMBER(SEARCH(" "&amp;$CR$536:$CR$635&amp;" ",$AX57)))),"")</f>
        <v/>
      </c>
      <c r="AP57" s="209" t="str">
        <f>IF(57=57,IF($U57="","",SUMPRODUCT(--ISNUMBER(SEARCH(" "&amp;$CR$636:$CR$735&amp;" ",$AX57)))),"")</f>
        <v/>
      </c>
      <c r="AQ57" s="209" t="str">
        <f>IF(57=57,IF($U57="","",SUMPRODUCT(--ISNUMBER(SEARCH(" "&amp;$CR$736:$CR$835&amp;" ",$AX57)))),"")</f>
        <v/>
      </c>
      <c r="AR57" s="209" t="str">
        <f>IF(57=57,IF($U57="","",SUMPRODUCT(--ISNUMBER(SEARCH(" "&amp;$CR$836:$CR$935&amp;" ",$AX57)))),"")</f>
        <v/>
      </c>
      <c r="AS57" s="209" t="str">
        <f>IF(57=57,IF($U57="","",SUMPRODUCT(--ISNUMBER(SEARCH(" "&amp;$CR$936:$CR$1035&amp;" ",$AX57)))),"")</f>
        <v/>
      </c>
      <c r="AT57" s="209" t="str">
        <f>IF(57=57,IF($U57="","",SUMPRODUCT(--ISNUMBER(SEARCH(" "&amp;$CR$1036:$CR$1135&amp;" ",$AX57)))),"")</f>
        <v/>
      </c>
      <c r="AU57" s="209" t="str">
        <f>IF(57=57,IF($U57="","",SUMPRODUCT(--ISNUMBER(SEARCH(" "&amp;$CR$1136:$CR$1235&amp;" ",$AX57)))),"")</f>
        <v/>
      </c>
      <c r="AV57" s="209" t="str">
        <f>IF(57=57,IF($U57="","",SUMPRODUCT(--ISNUMBER(SEARCH(" "&amp;$CR$1236:$CR$1335&amp;" ",$AX57)))),"")</f>
        <v/>
      </c>
      <c r="AW57" s="209" t="str">
        <f>IF(57=57,IF($U57="","",SUMPRODUCT(--ISNUMBER(SEARCH(" "&amp;$CR$1336:$CR$1363&amp;" ",$AX57)))),"")</f>
        <v/>
      </c>
      <c r="AX57" s="209" t="str">
        <f>IF(57=57,IF($U57="","",SUBSTITUTE(SUBSTITUTE(SUBSTITUTE(SUBSTITUTE(SUBSTITUTE(SUBSTITUTE(SUBSTITUTE(SUBSTITUTE(SUBSTITUTE($AA57,"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/>
      </c>
      <c r="AY57" s="209" t="str">
        <f>IF(57=57,IF($U57="","",SUMPRODUCT(--ISNUMBER(SEARCH(" "&amp;$CR$1373:$CR$1383&amp;" ",$AX57)))),"")</f>
        <v/>
      </c>
      <c r="AZ57" s="209" t="str">
        <f>IF(57=57,IF($U57="","",IF(SUM(AN57:AW57)+SUMPRODUCT(--ISNUMBER(SEARCH(" "&amp;$CR$2421:$CR$2422&amp;" ",$AX57)))&gt;0,"X",IF(AY57&gt;0,"?",""))),"")</f>
        <v/>
      </c>
      <c r="BA57" s="209" t="str">
        <f>IF(57=57,IF($U57="","",SUMPRODUCT(--ISNUMBER(SEARCH(" "&amp;$CR$1384:$CR$1404&amp;" ",$AA57)))),"")</f>
        <v/>
      </c>
      <c r="BB57" s="209" t="str">
        <f>IF(57=57,IF($U57="","",IF((BA57)-(0)&gt;0,"X",IF((0)-(0)&gt;0,"?",""))),"")</f>
        <v/>
      </c>
      <c r="BC57" s="209" t="str">
        <f>IF(57=57,IF($U57="","",SUMPRODUCT(--ISNUMBER(SEARCH(" "&amp;$CR$1405:$CR$1442&amp;" ",$BD57)))),"")</f>
        <v/>
      </c>
      <c r="BD57" s="209" t="str">
        <f>IF(57=57,IF($U57="","",SUBSTITUTE(SUBSTITUTE($AA57," "&amp;$CR$1443&amp;" "," ")," "&amp;$CR$1444&amp;" "," ")),"")</f>
        <v/>
      </c>
      <c r="BE57" s="209" t="str">
        <f>IF(57=57,IF($U57="","",SUMPRODUCT(--ISNUMBER(SEARCH(" "&amp;$CR$1445:$CR$1455&amp;" ",$BD57)))),"")</f>
        <v/>
      </c>
      <c r="BF57" s="209" t="str">
        <f>IF(57=57,IF($U57="","",IF(BC57&gt;0,"X",IF(BE57&gt;0,"?",""))),"")</f>
        <v/>
      </c>
      <c r="BG57" s="209" t="str">
        <f>IF(57=57,IF($U57="","",SUMPRODUCT(--ISNUMBER(SEARCH(" "&amp;$CR$1456:$CR$1555&amp;" ",$BJ57)))),"")</f>
        <v/>
      </c>
      <c r="BH57" s="209" t="str">
        <f>IF(57=57,IF($U57="","",SUMPRODUCT(--ISNUMBER(SEARCH(" "&amp;$CR$1556:$CR$1655&amp;" ",$BJ57)))),"")</f>
        <v/>
      </c>
      <c r="BI57" s="209" t="str">
        <f>IF(57=57,IF($U57="","",SUMPRODUCT(--ISNUMBER(SEARCH(" "&amp;$CR$1656:$CR$1739&amp;" ",$BJ57)))),"")</f>
        <v/>
      </c>
      <c r="BJ57" s="209" t="str">
        <f>IF(57=57,IF($U57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57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/>
      </c>
      <c r="BK57" s="209" t="str">
        <f>IF(57=57,IF($U57="","",SUMPRODUCT(--ISNUMBER(SEARCH(" "&amp;$CR$1790:$CR$1869&amp;" ",$BL57)))+SUMPRODUCT(--ISNUMBER(SEARCH(" "&amp;$CR$2440:$CR$2453&amp;" ",$BL57)))),"")</f>
        <v/>
      </c>
      <c r="BL57" s="209" t="str">
        <f>IF(57=57,IF($U57="","",SUBSTITUTE(SUBSTITUTE(SUBSTITUTE(SUBSTITUTE(SUBSTITUTE(SUBSTITUTE(SUBSTITUTE(SUBSTITUTE(SUBSTITUTE(SUBSTITUTE(SUBSTITUTE(SUBSTITUTE(SUBSTITUTE($BJ57,"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/>
      </c>
      <c r="BM57" s="209" t="str">
        <f>IF(57=57,IF($U57="","",IF(SUM(BG57:BI57)+SUMPRODUCT(--ISNUMBER(SEARCH(" "&amp;$CR$2423:$CR$2424&amp;" ",$BJ57)))&gt;0,"X",IF(BK57&gt;0,"?",""))),"")</f>
        <v/>
      </c>
      <c r="BN57" s="209" t="str">
        <f>IF(57=57,IF($U57="","",SUMPRODUCT(--ISNUMBER(SEARCH(" "&amp;$CR$1879:$CR$1936&amp;" ",$BO57)))),"")</f>
        <v/>
      </c>
      <c r="BO57" s="209" t="str">
        <f>IF(57=57,IF($U57="","",SUBSTITUTE(SUBSTITUTE(SUBSTITUTE(SUBSTITUTE(SUBSTITUTE(SUBSTITUTE(SUBSTITUTE(SUBSTITUTE(SUBSTITUTE(SUBSTITUTE(SUBSTITUTE(SUBSTITUTE(SUBSTITUTE(SUBSTITUTE(SUBSTITUTE(SUBSTITUTE(SUBSTITUTE(SUBSTITUTE(SUBSTITUTE(SUBSTITUTE(SUBSTITUTE(SUBSTITUTE(SUBSTITUTE($AA57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/>
      </c>
      <c r="BP57" s="209" t="str">
        <f>IF(57=57,IF($U57="","",SUMPRODUCT(--ISNUMBER(SEARCH(" "&amp;$CR$1960:$CR$1976&amp;" ",$BO57)))),"")</f>
        <v/>
      </c>
      <c r="BQ57" s="209" t="str">
        <f>IF(57=57,IF($U57="","",IF(BN57&gt;0,"X",IF(BP57&gt;0,"?",""))),"")</f>
        <v/>
      </c>
      <c r="BR57" s="209" t="str">
        <f>IF(57=57,IF($U57="","",SUMPRODUCT(--ISNUMBER(SEARCH(" "&amp;$CR$1977:$CR$1990&amp;" ",$AA57)))),"")</f>
        <v/>
      </c>
      <c r="BS57" s="209" t="str">
        <f>IF(57=57,IF($U57="","",SUMPRODUCT(--ISNUMBER(SEARCH(" "&amp;$CR$1991:$CR$2005&amp;" ",$AA57)))),"")</f>
        <v/>
      </c>
      <c r="BT57" s="209" t="str">
        <f>IF(57=57,IF($U57="","",IF((BR57)-(0)&gt;0,"X",IF((BS57)-(0)&gt;0,"?",""))),"")</f>
        <v/>
      </c>
      <c r="BU57" s="209" t="str">
        <f>IF(57=57,IF($U57="","",SUMPRODUCT(--ISNUMBER(SEARCH(" "&amp;$CR$2006:$CR$2023&amp;" ",$AA57)))),"")</f>
        <v/>
      </c>
      <c r="BV57" s="209" t="str">
        <f>IF(57=57,IF($U57="","",SUMPRODUCT(--ISNUMBER(SEARCH(" "&amp;$CR$2024:$CR$2038&amp;" ",$AA57)))),"")</f>
        <v/>
      </c>
      <c r="BW57" s="209" t="str">
        <f>IF(57=57,IF($U57="","",IF((BU57)-(0)&gt;0,"X",IF((BV57)-(0)&gt;0,"?",""))),"")</f>
        <v/>
      </c>
      <c r="BX57" s="209" t="str">
        <f>IF(57=57,IF($U57="","",SUMPRODUCT(--ISNUMBER(SEARCH(" "&amp;$CR$2039:$CR$2057&amp;" ",$AA57)))),"")</f>
        <v/>
      </c>
      <c r="BY57" s="209" t="str">
        <f>IF(57=57,IF($U57="","",SUMPRODUCT(--ISNUMBER(SEARCH(" "&amp;$CR$2058:$CR$2072&amp;" ",$AA57)))),"")</f>
        <v/>
      </c>
      <c r="BZ57" s="209" t="str">
        <f>IF(57=57,IF($U57="","",IF((BX57)-(0)&gt;0,"X",IF((BY57)-(0)&gt;0,"?",""))),"")</f>
        <v/>
      </c>
      <c r="CA57" s="209" t="str">
        <f>IF(57=57,IF($U57="","",SUMPRODUCT(--ISNUMBER(SEARCH(" "&amp;$CR$2073:$CR$2093&amp;" ",$AA57)))),"")</f>
        <v/>
      </c>
      <c r="CB57" s="209" t="str">
        <f>IF(57=57,IF($U57="","",SUMPRODUCT(--ISNUMBER(SEARCH(" "&amp;$CR$2094:$CR$2133&amp;" ",SUBSTITUTE(SUBSTITUTE($AA57," "&amp;$CR$1367&amp;" "," ")," "&amp;$CR$1366&amp;" "," "))))+--ISNUMBER(SEARCH("poiré",$V57))),"")</f>
        <v/>
      </c>
      <c r="CC57" s="209" t="str">
        <f>IF(57=57,IF($U57="","",IF(OR(CA57&gt;0,ISNUMBER(SEARCH(" vinaigre de vin ",$AA57)),ISNUMBER(SEARCH(" vinaigre au vin ",$AA57))),"X",IF(CB57&gt;0,"?",""))),"")</f>
        <v/>
      </c>
      <c r="CD57" s="209" t="str">
        <f>IF(57=57,IF($U57="","",SUMPRODUCT(--ISNUMBER(SEARCH(" "&amp;$CR$2134:$CR$2146&amp;" ",$AA57)))),"")</f>
        <v/>
      </c>
      <c r="CE57" s="209" t="str">
        <f>IF(57=57,IF($U57="","",SUMPRODUCT(--ISNUMBER(SEARCH(" "&amp;$CR$2147:$CR$2152&amp;" ",$AA57)))),"")</f>
        <v/>
      </c>
      <c r="CF57" s="209" t="str">
        <f>IF(57=57,IF($U57="","",IF((CD57)-(0)&gt;0,"X",IF((CE57)-(0)&gt;0,"?",""))),"")</f>
        <v/>
      </c>
      <c r="CG57" s="209" t="str">
        <f>IF(57=57,IF($U57="","",SUMPRODUCT(--ISNUMBER(SEARCH(" "&amp;$CR$2153:$CR$2252&amp;" ",$CJ57)))),"")</f>
        <v/>
      </c>
      <c r="CH57" s="209" t="str">
        <f>IF(57=57,IF($U57="","",SUMPRODUCT(--ISNUMBER(SEARCH(" "&amp;$CR$2253:$CR$2352&amp;" ",$CJ57)))),"")</f>
        <v/>
      </c>
      <c r="CI57" s="209" t="str">
        <f>IF(57=57,IF($U57="","",SUMPRODUCT(--ISNUMBER(SEARCH(" "&amp;$CR$2353:$CR$2395&amp;" ",$CJ57)))),"")</f>
        <v/>
      </c>
      <c r="CJ57" s="209" t="str">
        <f>IF(57=57,IF($U57="","",SUBSTITUTE(SUBSTITUTE(SUBSTITUTE(SUBSTITUTE(SUBSTITUTE(SUBSTITUTE(SUBSTITUTE(SUBSTITUTE(SUBSTITUTE(SUBSTITUTE(SUBSTITUTE(SUBSTITUTE(SUBSTITUTE(SUBSTITUTE(SUBSTITUTE(SUBSTITUTE($AA57,"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/>
      </c>
      <c r="CK57" s="209" t="str">
        <f>IF(57=57,IF($U57="","",SUMPRODUCT(--ISNUMBER(SEARCH(" "&amp;$CR$2412:$CR$2416&amp;" ",$CJ57)))),"")</f>
        <v/>
      </c>
      <c r="CL57" s="209" t="str">
        <f>IF(57=57,IF($U57="","",IF(SUM(CG57:CI57)&gt;0,"X",IF(CK57&gt;0,"?",""))),"")</f>
        <v/>
      </c>
      <c r="CM57" s="210"/>
      <c r="CN57" s="213" t="s">
        <v>1094</v>
      </c>
      <c r="CO57" s="213" t="s">
        <v>878</v>
      </c>
      <c r="CP57" s="213" t="s">
        <v>879</v>
      </c>
      <c r="CQ57" s="213" t="s">
        <v>1095</v>
      </c>
      <c r="CR57" s="213" t="s">
        <v>1096</v>
      </c>
      <c r="CS57" s="213" t="s">
        <v>881</v>
      </c>
      <c r="CT57" s="213" t="s">
        <v>882</v>
      </c>
      <c r="CU57" s="213" t="s">
        <v>883</v>
      </c>
      <c r="CV57" s="214" t="s">
        <v>884</v>
      </c>
      <c r="CX57" s="212">
        <v>1</v>
      </c>
    </row>
    <row r="58" spans="1:102" ht="21" customHeight="1">
      <c r="A58" s="229">
        <v>52</v>
      </c>
      <c r="B58" s="230"/>
      <c r="C58" s="231" t="str">
        <f t="shared" si="0"/>
        <v/>
      </c>
      <c r="D58" s="232" t="str">
        <f>IF(58=58,IF($B58="","",IF(E58="X",""&amp;"Céréales contenant du gluten","")&amp;IF(F58="X",IF(COUNTIF($E58:$E58,"X")&gt;0,", ","")&amp;"Crustacés","")&amp;IF(G58="X",IF(COUNTIF($E58:$F58,"X")&gt;0,", ","")&amp;"Œufs","")&amp;IF(H58="X",IF(COUNTIF($E58:$G58,"X")&gt;0,", ","")&amp;"Poissons","")&amp;IF(I58="X",IF(COUNTIF($E58:$H58,"X")&gt;0,", ","")&amp;"Arachides","")&amp;IF(J58="X",IF(COUNTIF($E58:$I58,"X")&gt;0,", ","")&amp;"Soja","")&amp;IF(K58="X",IF(COUNTIF($E58:$J58,"X")&gt;0,", ","")&amp;"Lait","")&amp;IF(L58="X",IF(COUNTIF($E58:$K58,"X")&gt;0,", ","")&amp;"Fruits à coque","")&amp;IF(M58="X",IF(COUNTIF($E58:$L58,"X")&gt;0,", ","")&amp;"Céleri","")&amp;IF(N58="X",IF(COUNTIF($E58:$M58,"X")&gt;0,", ","")&amp;"Moutarde","")&amp;IF(O58="X",IF(COUNTIF($E58:$N58,"X")&gt;0,", ","")&amp;"Sésame","")&amp;IF(P58="X",IF(COUNTIF($E58:$O58,"X")&gt;0,", ","")&amp;"Sulfites","")&amp;IF(Q58="X",IF(COUNTIF($E58:$P58,"X")&gt;0,", ","")&amp;"Lupin","")&amp;IF(R58="X",IF(COUNTIF($E58:$Q58,"X")&gt;0,", ","")&amp;"Mollusques","")),"")</f>
        <v/>
      </c>
      <c r="E58" s="233" t="str">
        <f>IF(58=58,IF($B58="","",IF(OR(ISNUMBER(SEARCH(" biere sans gluten ",$AA58)),ISNUMBER(SEARCH(" gluten free beer ",$AA58)),ISNUMBER(SEARCH(" beer gluten free ",$AA58))),"",IF(AF58="X","X",IF(OR(AF58="?",OR(ISNUMBER(SEARCH(" worcestershire ",$AA58)),ISNUMBER(SEARCH(" bloody mary ",$AA58)))),"?","")))),"")</f>
        <v/>
      </c>
      <c r="F58" s="233" t="str">
        <f>IF(58=58,IF($B58="","",AI58),"")</f>
        <v/>
      </c>
      <c r="G58" s="233" t="str">
        <f>IF(58=58,IF($B58="","",IF(OR(TRIM($AA58)="puree pate d amande",TRIM($AA58)="pate puree d amande",TRIM($AA58)="puree d amande",TRIM($AA58)="pate d amande",TRIM($AA58)="pate puree de noisette",TRIM($AA58)="puree pate de noisette",TRIM($AA58)="puree de noisette",TRIM($AA58)="pate de noisette"),"",IF(OR(AM58="X",OR(ISNUMBER(SEARCH(" macaron ",$AA58)),ISNUMBER(SEARCH(" egg nog ",$AA58)),ISNUMBER(SEARCH(" eggnog ",$AA58)))),"X",IF(OR(AM58="?",OR(ISNUMBER(SEARCH(" biscuit decoratif ",$AA58)),ISNUMBER(SEARCH(" whisky sour ",$AA58)),ISNUMBER(SEARCH(" whiskey sour ",$AA58)),ISNUMBER(SEARCH(" amaretto sour ",$AA58)),ISNUMBER(SEARCH(" pisco sour ",$AA58)),ISNUMBER(SEARCH(" clover club ",$AA58)),ISNUMBER(SEARCH(" ramos gin fizz ",$AA58)))),"?","")))),"")</f>
        <v/>
      </c>
      <c r="H58" s="233" t="str">
        <f>IF(58=58,IF($B58="","",IF(ISNUMBER(SEARCH(" colin ",$AA58)),"X",IF(AZ58="X","X",IF(OR(AZ58="?",OR(ISNUMBER(SEARCH(" worcestershire ",$AA58)),ISNUMBER(SEARCH(" bloody mary ",$AA58)))),"?","")))),"")</f>
        <v/>
      </c>
      <c r="I58" s="233" t="str">
        <f>IF(58=58,IF($B58="","",BB58),"")</f>
        <v/>
      </c>
      <c r="J58" s="233" t="str">
        <f>IF(58=58,IF($B58="","",BF58),"")</f>
        <v/>
      </c>
      <c r="K58" s="233" t="str">
        <f>IF(58=58,IF($B58="","",IF(OR(OR(TRIM($AA58)="puree pate d amande",TRIM($AA58)="pate puree d amande",TRIM($AA58)="puree d amande",TRIM($AA58)="pate d amande",TRIM($AA58)="pate puree de noisette",TRIM($AA58)="puree pate de noisette",TRIM($AA58)="puree de noisette",TRIM($AA58)="pate de noisette"),OR(TRIM($AA58)="beurre puree d arachide",TRIM($AA58)="beurre d arachide",TRIM($AA58)="puree d arachide"),OR(TRIM($AA58)="tahini puree de sesame",TRIM($AA58)="tahini",TRIM($AA58)="puree de sesame")),"",IF(OR(TRIM($AA58)="creme de cassis",TRIM($AA58)="creme de menthe",TRIM($AA58)="creme de cacao",TRIM($AA58)="creme de mure",TRIM($AA58)="creme de framboise",TRIM($AA58)="creme de peche",TRIM($AA58)="creme de banane",TRIM($AA58)="liqueur creme de coco",TRIM($AA58)="creme de coco",TRIM($AA58)="spiritueux aromatise arrange creme de spiritueux"),"?",IF(OR(BM58="X",OR(ISNUMBER(SEARCH(" baileys ",$AA58)),ISNUMBER(SEARCH(" irish cream ",$AA58)),ISNUMBER(SEARCH(" creme de whisky ",$AA58)))),"X",IF(OR(BM58="?",OR(OR(TRIM($AA58)="creme de cassis",TRIM($AA58)="creme de menthe",TRIM($AA58)="creme de cacao",TRIM($AA58)="creme de mure",TRIM($AA58)="creme de framboise",TRIM($AA58)="creme de peche",TRIM($AA58)="creme de banane",TRIM($AA58)="liqueur creme de coco",TRIM($AA58)="creme de coco",TRIM($AA58)="spiritueux aromatise arrange creme de spiritueux"),ISNUMBER(SEARCH(" advocaat ",$AA58)),ISNUMBER(SEARCH(" liqueur aux oeufs ",$AA58)),ISNUMBER(SEARCH(" liqueur de chocolat ",$AA58)),ISNUMBER(SEARCH(" liqueur de caramel ",$AA58)),ISNUMBER(SEARCH(" sauce nappage chocolat ",$AA58)),ISNUMBER(SEARCH(" biscuit decoratif ",$AA58)),ISNUMBER(SEARCH(" white russian ",$AA58)),ISNUMBER(SEARCH(" grasshopper ",$AA58)),ISNUMBER(SEARCH(" irish coffee ",$AA58)),ISNUMBER(SEARCH(" ramos gin fizz ",$AA58)),ISNUMBER(SEARCH(" egg nog ",$AA58)),ISNUMBER(SEARCH(" eggnog ",$AA58)))),"?",""))))),"")</f>
        <v/>
      </c>
      <c r="L58" s="233" t="str">
        <f>IF(58=58,IF($B58="","",IF(OR(BQ58="X",OR(OR(TRIM($AA58)="puree pate d amande",TRIM($AA58)="pate puree d amande",TRIM($AA58)="puree d amande",TRIM($AA58)="pate d amande",TRIM($AA58)="pate puree de noisette",TRIM($AA58)="puree pate de noisette",TRIM($AA58)="puree de noisette",TRIM($AA58)="pate de noisette"),ISNUMBER(SEARCH(" macaron ",$AA58)),TRIM($AA58)="fruits a coque")),"X",IF(OR(BQ58="?",OR(ISNUMBER(SEARCH(" sirop d orgeat ",$AA58)),ISNUMBER(SEARCH(" orgeat ",$AA58)),ISNUMBER(SEARCH(" amaretto ",$AA58)))),"?",""))),"")</f>
        <v/>
      </c>
      <c r="M58" s="233" t="str">
        <f>IF(58=58,IF($B58="","",IF(OR(OR(TRIM($AA58)="puree pate d amande",TRIM($AA58)="pate puree d amande",TRIM($AA58)="puree d amande",TRIM($AA58)="pate d amande",TRIM($AA58)="pate puree de noisette",TRIM($AA58)="puree pate de noisette",TRIM($AA58)="puree de noisette",TRIM($AA58)="pate de noisette"),OR(TRIM($AA58)="tahini puree de sesame",TRIM($AA58)="tahini",TRIM($AA58)="puree de sesame")),"",IF(BT58="X","X",IF(OR(BT58="?",ISNUMBER(SEARCH(" bloody mary ",$AA58))),"?","")))),"")</f>
        <v/>
      </c>
      <c r="N58" s="233" t="str">
        <f>IF(58=58,IF($B58="","",IF(OR(OR(TRIM($AA58)="puree pate d amande",TRIM($AA58)="pate puree d amande",TRIM($AA58)="puree d amande",TRIM($AA58)="pate d amande",TRIM($AA58)="pate puree de noisette",TRIM($AA58)="puree pate de noisette",TRIM($AA58)="puree de noisette",TRIM($AA58)="pate de noisette"),OR(TRIM($AA58)="tahini puree de sesame",TRIM($AA58)="tahini",TRIM($AA58)="puree de sesame")),"",IF(BW58="X","X",IF(OR(BW58="?",ISNUMBER(SEARCH(" bloody mary ",$AA58))),"?","")))),"")</f>
        <v/>
      </c>
      <c r="O58" s="233" t="str">
        <f>IF(58=58,IF($B58="","",BZ58),"")</f>
        <v/>
      </c>
      <c r="P58" s="233" t="str">
        <f>IF(58=58,IF($B58="","",CC58),"")</f>
        <v/>
      </c>
      <c r="Q58" s="233" t="str">
        <f>IF(58=58,IF($B58="","",CF58),"")</f>
        <v/>
      </c>
      <c r="R58" s="233" t="str">
        <f>IF(58=58,IF($B58="","",IF(TRIM($AA58)="fruits a coque","",IF(CL58="X","X",IF(OR(CL58="?",OR(ISNUMBER(SEARCH(" clamato ",$AA58)),ISNUMBER(SEARCH(" bloody caesar ",$AA58)))),"?","")))),"")</f>
        <v/>
      </c>
      <c r="S58" s="234" t="str">
        <f>IF(58=58,IF($B58="","",IF(E58="?",""&amp;"Céréales contenant du gluten","")&amp;IF(F58="?",IF(COUNTIF($E58:$E58,"~?")&gt;0,", ","")&amp;"Crustacés","")&amp;IF(G58="?",IF(COUNTIF($E58:$F58,"~?")&gt;0,", ","")&amp;"Œufs","")&amp;IF(H58="?",IF(COUNTIF($E58:$G58,"~?")&gt;0,", ","")&amp;"Poissons","")&amp;IF(I58="?",IF(COUNTIF($E58:$H58,"~?")&gt;0,", ","")&amp;"Arachides","")&amp;IF(J58="?",IF(COUNTIF($E58:$I58,"~?")&gt;0,", ","")&amp;"Soja","")&amp;IF(K58="?",IF(COUNTIF($E58:$J58,"~?")&gt;0,", ","")&amp;"Lait","")&amp;IF(L58="?",IF(COUNTIF($E58:$K58,"~?")&gt;0,", ","")&amp;"Fruits à coque","")&amp;IF(M58="?",IF(COUNTIF($E58:$L58,"~?")&gt;0,", ","")&amp;"Céleri","")&amp;IF(N58="?",IF(COUNTIF($E58:$M58,"~?")&gt;0,", ","")&amp;"Moutarde","")&amp;IF(O58="?",IF(COUNTIF($E58:$N58,"~?")&gt;0,", ","")&amp;"Sésame","")&amp;IF(P58="?",IF(COUNTIF($E58:$O58,"~?")&gt;0,", ","")&amp;"Sulfites","")&amp;IF(Q58="?",IF(COUNTIF($E58:$P58,"~?")&gt;0,", ","")&amp;"Lupin","")&amp;IF(R58="?",IF(COUNTIF($E58:$Q58,"~?")&gt;0,", ","")&amp;"Mollusques","")),"")</f>
        <v/>
      </c>
      <c r="U58" s="209" t="str">
        <f>IF(58=58,IF($B58="","",$B58),"")</f>
        <v/>
      </c>
      <c r="V58" s="209" t="str">
        <f>IF(58=58,LOWER(CLEAN(SUBSTITUTE(SUBSTITUTE(SUBSTITUTE(SUBSTITUTE($U58,CHAR(160)," ")," "," "),CHAR(10)," "),CHAR(13)," "))),"")</f>
        <v/>
      </c>
      <c r="W58" s="209" t="str">
        <f>IF(58=58,SUBSTITUTE(SUBSTITUTE(SUBSTITUTE(SUBSTITUTE(SUBSTITUTE(SUBSTITUTE(SUBSTITUTE(SUBSTITUTE(SUBSTITUTE(SUBSTITUTE(SUBSTITUTE(SUBSTITUTE($V58,"œ","oe"),"æ","ae"),"à","a"),"á","a"),"â","a"),"ä","a"),"ã","a"),"ç","c"),"è","e"),"é","e"),"ê","e"),"ë","e"),"")</f>
        <v/>
      </c>
      <c r="X58" s="209" t="str">
        <f>IF(58=58,SUBSTITUTE(SUBSTITUTE(SUBSTITUTE(SUBSTITUTE(SUBSTITUTE(SUBSTITUTE(SUBSTITUTE(SUBSTITUTE(SUBSTITUTE(SUBSTITUTE(SUBSTITUTE(SUBSTITUTE(SUBSTITUTE(SUBSTITUTE(SUBSTITUTE(SUBSTITUTE($W58,"ì","i"),"í","i"),"î","i"),"ï","i"),"ñ","n"),"ò","o"),"ó","o"),"ô","o"),"ö","o"),"õ","o"),"ù","u"),"ú","u"),"û","u"),"ü","u"),"ý","y"),"ÿ","y"),"")</f>
        <v/>
      </c>
      <c r="Y58" s="209" t="str">
        <f>IF(58=58,SUBSTITUTE(SUBSTITUTE(SUBSTITUTE(SUBSTITUTE(SUBSTITUTE(SUBSTITUTE(SUBSTITUTE(SUBSTITUTE(SUBSTITUTE(SUBSTITUTE(SUBSTITUTE(SUBSTITUTE(SUBSTITUTE(SUBSTITUTE($X58,"’"," "),"`"," "),"–"," "),"—"," "),"-"," "),"'"," "),"/"," "),"_"," "),","," "),"."," "),"("," "),")"," "),";"," "),":"," "),"")</f>
        <v/>
      </c>
      <c r="Z58" s="209" t="str">
        <f>IF(58=58,SUBSTITUTE(SUBSTITUTE(SUBSTITUTE(SUBSTITUTE(SUBSTITUTE(SUBSTITUTE(SUBSTITUTE(SUBSTITUTE(SUBSTITUTE(SUBSTITUTE(SUBSTITUTE(SUBSTITUTE(SUBSTITUTE(SUBSTITUTE(SUBSTITUTE($Y58,"!"," "),"?"," "),"+"," "),"*"," "),"&amp;"," "),"["," "),"]"," "),"{"," "),"}"," "),"%"," "),"="," "),"\"," "),"|"," "),"&lt;"," "),"&gt;"," "),"")</f>
        <v/>
      </c>
      <c r="AA58" s="209" t="str">
        <f>IF(58=58," "&amp;TRIM(SUBSTITUTE(SUBSTITUTE(SUBSTITUTE(SUBSTITUTE(SUBSTITUTE(SUBSTITUTE($Z58,CHAR(34)," "),"  "," "),"  "," "),"  "," "),"  "," "),"  "," "))&amp;" ","")</f>
        <v xml:space="preserve">  </v>
      </c>
      <c r="AB58" s="209" t="str">
        <f>IF(58=58,IF($U58="","",SUMPRODUCT(--ISNUMBER(SEARCH(" "&amp;$CR$2:$CR$101&amp;" ",$AD58)))),"")</f>
        <v/>
      </c>
      <c r="AC58" s="209" t="str">
        <f>IF(58=58,IF($U58="","",SUMPRODUCT(--ISNUMBER(SEARCH(" "&amp;$CR$102:$CR$151&amp;" ",$AD58)))),"")</f>
        <v/>
      </c>
      <c r="AD58" s="209" t="str">
        <f t="shared" si="1"/>
        <v/>
      </c>
      <c r="AE58" s="209" t="str">
        <f t="shared" si="2"/>
        <v/>
      </c>
      <c r="AF58" s="209" t="str">
        <f>IF(58=58,IF($U58="","",IF(SUM(AB58:AC58)+SUMPRODUCT(--ISNUMBER(SEARCH(" "&amp;$CR$2418:$CR$2420&amp;" ",$AD58)))&gt;0,"X",IF(AE58&gt;0,"?",""))),"")</f>
        <v/>
      </c>
      <c r="AG58" s="209" t="str">
        <f>IF(58=58,IF($U58="","",SUMPRODUCT(--ISNUMBER(SEARCH(" "&amp;$CR$206:$CR$305&amp;" ",$AA58)))),"")</f>
        <v/>
      </c>
      <c r="AH58" s="209" t="str">
        <f>IF(58=58,IF($U58="","",SUMPRODUCT(--ISNUMBER(SEARCH(" "&amp;$CR$306:$CR$340&amp;" ",$AA58)))),"")</f>
        <v/>
      </c>
      <c r="AI58" s="209" t="str">
        <f>IF(58=58,IF($U58="","",IF((SUM(AG58:AH58))-(0)&gt;0,"X",IF((0)-(0)&gt;0,"?",""))),"")</f>
        <v/>
      </c>
      <c r="AJ58" s="209" t="str">
        <f>IF(58=58,IF($U58="","",SUMPRODUCT(--ISNUMBER(SEARCH(" "&amp;$CR$341:$CR$398&amp;" ",$AA58)))),"")</f>
        <v/>
      </c>
      <c r="AK58" s="209" t="str">
        <f>IF(58=58,IF($U58="","",SUMPRODUCT(--ISNUMBER(SEARCH(" "&amp;$CR$399:$CR$426&amp;" ",$AL58)))+SUMPRODUCT(--ISNUMBER(SEARCH(" "&amp;$CR$2440:$CR$2453&amp;" ",$AL58)))),"")</f>
        <v/>
      </c>
      <c r="AL58" s="209" t="str">
        <f>IF(58=58,IF($U58="","",SUBSTITUTE(SUBSTITUTE(SUBSTITUTE(SUBSTITUTE(SUBSTITUTE(SUBSTITUTE(SUBSTITUTE(SUBSTITUTE(SUBSTITUTE(SUBSTITUTE(SUBSTITUTE(SUBSTITUTE(SUBSTITUTE(SUBSTITUTE($AA58,"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/>
      </c>
      <c r="AM58" s="209" t="str">
        <f>IF(58=58,IF($U58="","",IF(AJ58&gt;0,"X",IF(AK58&gt;0,"?",""))),"")</f>
        <v/>
      </c>
      <c r="AN58" s="209" t="str">
        <f>IF(58=58,IF($U58="","",SUMPRODUCT(--ISNUMBER(SEARCH(" "&amp;$CR$436:$CR$535&amp;" ",$AX58)))),"")</f>
        <v/>
      </c>
      <c r="AO58" s="209" t="str">
        <f>IF(58=58,IF($U58="","",SUMPRODUCT(--ISNUMBER(SEARCH(" "&amp;$CR$536:$CR$635&amp;" ",$AX58)))),"")</f>
        <v/>
      </c>
      <c r="AP58" s="209" t="str">
        <f>IF(58=58,IF($U58="","",SUMPRODUCT(--ISNUMBER(SEARCH(" "&amp;$CR$636:$CR$735&amp;" ",$AX58)))),"")</f>
        <v/>
      </c>
      <c r="AQ58" s="209" t="str">
        <f>IF(58=58,IF($U58="","",SUMPRODUCT(--ISNUMBER(SEARCH(" "&amp;$CR$736:$CR$835&amp;" ",$AX58)))),"")</f>
        <v/>
      </c>
      <c r="AR58" s="209" t="str">
        <f>IF(58=58,IF($U58="","",SUMPRODUCT(--ISNUMBER(SEARCH(" "&amp;$CR$836:$CR$935&amp;" ",$AX58)))),"")</f>
        <v/>
      </c>
      <c r="AS58" s="209" t="str">
        <f>IF(58=58,IF($U58="","",SUMPRODUCT(--ISNUMBER(SEARCH(" "&amp;$CR$936:$CR$1035&amp;" ",$AX58)))),"")</f>
        <v/>
      </c>
      <c r="AT58" s="209" t="str">
        <f>IF(58=58,IF($U58="","",SUMPRODUCT(--ISNUMBER(SEARCH(" "&amp;$CR$1036:$CR$1135&amp;" ",$AX58)))),"")</f>
        <v/>
      </c>
      <c r="AU58" s="209" t="str">
        <f>IF(58=58,IF($U58="","",SUMPRODUCT(--ISNUMBER(SEARCH(" "&amp;$CR$1136:$CR$1235&amp;" ",$AX58)))),"")</f>
        <v/>
      </c>
      <c r="AV58" s="209" t="str">
        <f>IF(58=58,IF($U58="","",SUMPRODUCT(--ISNUMBER(SEARCH(" "&amp;$CR$1236:$CR$1335&amp;" ",$AX58)))),"")</f>
        <v/>
      </c>
      <c r="AW58" s="209" t="str">
        <f>IF(58=58,IF($U58="","",SUMPRODUCT(--ISNUMBER(SEARCH(" "&amp;$CR$1336:$CR$1363&amp;" ",$AX58)))),"")</f>
        <v/>
      </c>
      <c r="AX58" s="209" t="str">
        <f>IF(58=58,IF($U58="","",SUBSTITUTE(SUBSTITUTE(SUBSTITUTE(SUBSTITUTE(SUBSTITUTE(SUBSTITUTE(SUBSTITUTE(SUBSTITUTE(SUBSTITUTE($AA58,"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/>
      </c>
      <c r="AY58" s="209" t="str">
        <f>IF(58=58,IF($U58="","",SUMPRODUCT(--ISNUMBER(SEARCH(" "&amp;$CR$1373:$CR$1383&amp;" ",$AX58)))),"")</f>
        <v/>
      </c>
      <c r="AZ58" s="209" t="str">
        <f>IF(58=58,IF($U58="","",IF(SUM(AN58:AW58)+SUMPRODUCT(--ISNUMBER(SEARCH(" "&amp;$CR$2421:$CR$2422&amp;" ",$AX58)))&gt;0,"X",IF(AY58&gt;0,"?",""))),"")</f>
        <v/>
      </c>
      <c r="BA58" s="209" t="str">
        <f>IF(58=58,IF($U58="","",SUMPRODUCT(--ISNUMBER(SEARCH(" "&amp;$CR$1384:$CR$1404&amp;" ",$AA58)))),"")</f>
        <v/>
      </c>
      <c r="BB58" s="209" t="str">
        <f>IF(58=58,IF($U58="","",IF((BA58)-(0)&gt;0,"X",IF((0)-(0)&gt;0,"?",""))),"")</f>
        <v/>
      </c>
      <c r="BC58" s="209" t="str">
        <f>IF(58=58,IF($U58="","",SUMPRODUCT(--ISNUMBER(SEARCH(" "&amp;$CR$1405:$CR$1442&amp;" ",$BD58)))),"")</f>
        <v/>
      </c>
      <c r="BD58" s="209" t="str">
        <f>IF(58=58,IF($U58="","",SUBSTITUTE(SUBSTITUTE($AA58," "&amp;$CR$1443&amp;" "," ")," "&amp;$CR$1444&amp;" "," ")),"")</f>
        <v/>
      </c>
      <c r="BE58" s="209" t="str">
        <f>IF(58=58,IF($U58="","",SUMPRODUCT(--ISNUMBER(SEARCH(" "&amp;$CR$1445:$CR$1455&amp;" ",$BD58)))),"")</f>
        <v/>
      </c>
      <c r="BF58" s="209" t="str">
        <f>IF(58=58,IF($U58="","",IF(BC58&gt;0,"X",IF(BE58&gt;0,"?",""))),"")</f>
        <v/>
      </c>
      <c r="BG58" s="209" t="str">
        <f>IF(58=58,IF($U58="","",SUMPRODUCT(--ISNUMBER(SEARCH(" "&amp;$CR$1456:$CR$1555&amp;" ",$BJ58)))),"")</f>
        <v/>
      </c>
      <c r="BH58" s="209" t="str">
        <f>IF(58=58,IF($U58="","",SUMPRODUCT(--ISNUMBER(SEARCH(" "&amp;$CR$1556:$CR$1655&amp;" ",$BJ58)))),"")</f>
        <v/>
      </c>
      <c r="BI58" s="209" t="str">
        <f>IF(58=58,IF($U58="","",SUMPRODUCT(--ISNUMBER(SEARCH(" "&amp;$CR$1656:$CR$1739&amp;" ",$BJ58)))),"")</f>
        <v/>
      </c>
      <c r="BJ58" s="209" t="str">
        <f>IF(58=58,IF($U58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58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/>
      </c>
      <c r="BK58" s="209" t="str">
        <f>IF(58=58,IF($U58="","",SUMPRODUCT(--ISNUMBER(SEARCH(" "&amp;$CR$1790:$CR$1869&amp;" ",$BL58)))+SUMPRODUCT(--ISNUMBER(SEARCH(" "&amp;$CR$2440:$CR$2453&amp;" ",$BL58)))),"")</f>
        <v/>
      </c>
      <c r="BL58" s="209" t="str">
        <f>IF(58=58,IF($U58="","",SUBSTITUTE(SUBSTITUTE(SUBSTITUTE(SUBSTITUTE(SUBSTITUTE(SUBSTITUTE(SUBSTITUTE(SUBSTITUTE(SUBSTITUTE(SUBSTITUTE(SUBSTITUTE(SUBSTITUTE(SUBSTITUTE($BJ58,"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/>
      </c>
      <c r="BM58" s="209" t="str">
        <f>IF(58=58,IF($U58="","",IF(SUM(BG58:BI58)+SUMPRODUCT(--ISNUMBER(SEARCH(" "&amp;$CR$2423:$CR$2424&amp;" ",$BJ58)))&gt;0,"X",IF(BK58&gt;0,"?",""))),"")</f>
        <v/>
      </c>
      <c r="BN58" s="209" t="str">
        <f>IF(58=58,IF($U58="","",SUMPRODUCT(--ISNUMBER(SEARCH(" "&amp;$CR$1879:$CR$1936&amp;" ",$BO58)))),"")</f>
        <v/>
      </c>
      <c r="BO58" s="209" t="str">
        <f>IF(58=58,IF($U58="","",SUBSTITUTE(SUBSTITUTE(SUBSTITUTE(SUBSTITUTE(SUBSTITUTE(SUBSTITUTE(SUBSTITUTE(SUBSTITUTE(SUBSTITUTE(SUBSTITUTE(SUBSTITUTE(SUBSTITUTE(SUBSTITUTE(SUBSTITUTE(SUBSTITUTE(SUBSTITUTE(SUBSTITUTE(SUBSTITUTE(SUBSTITUTE(SUBSTITUTE(SUBSTITUTE(SUBSTITUTE(SUBSTITUTE($AA58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/>
      </c>
      <c r="BP58" s="209" t="str">
        <f>IF(58=58,IF($U58="","",SUMPRODUCT(--ISNUMBER(SEARCH(" "&amp;$CR$1960:$CR$1976&amp;" ",$BO58)))),"")</f>
        <v/>
      </c>
      <c r="BQ58" s="209" t="str">
        <f>IF(58=58,IF($U58="","",IF(BN58&gt;0,"X",IF(BP58&gt;0,"?",""))),"")</f>
        <v/>
      </c>
      <c r="BR58" s="209" t="str">
        <f>IF(58=58,IF($U58="","",SUMPRODUCT(--ISNUMBER(SEARCH(" "&amp;$CR$1977:$CR$1990&amp;" ",$AA58)))),"")</f>
        <v/>
      </c>
      <c r="BS58" s="209" t="str">
        <f>IF(58=58,IF($U58="","",SUMPRODUCT(--ISNUMBER(SEARCH(" "&amp;$CR$1991:$CR$2005&amp;" ",$AA58)))),"")</f>
        <v/>
      </c>
      <c r="BT58" s="209" t="str">
        <f>IF(58=58,IF($U58="","",IF((BR58)-(0)&gt;0,"X",IF((BS58)-(0)&gt;0,"?",""))),"")</f>
        <v/>
      </c>
      <c r="BU58" s="209" t="str">
        <f>IF(58=58,IF($U58="","",SUMPRODUCT(--ISNUMBER(SEARCH(" "&amp;$CR$2006:$CR$2023&amp;" ",$AA58)))),"")</f>
        <v/>
      </c>
      <c r="BV58" s="209" t="str">
        <f>IF(58=58,IF($U58="","",SUMPRODUCT(--ISNUMBER(SEARCH(" "&amp;$CR$2024:$CR$2038&amp;" ",$AA58)))),"")</f>
        <v/>
      </c>
      <c r="BW58" s="209" t="str">
        <f>IF(58=58,IF($U58="","",IF((BU58)-(0)&gt;0,"X",IF((BV58)-(0)&gt;0,"?",""))),"")</f>
        <v/>
      </c>
      <c r="BX58" s="209" t="str">
        <f>IF(58=58,IF($U58="","",SUMPRODUCT(--ISNUMBER(SEARCH(" "&amp;$CR$2039:$CR$2057&amp;" ",$AA58)))),"")</f>
        <v/>
      </c>
      <c r="BY58" s="209" t="str">
        <f>IF(58=58,IF($U58="","",SUMPRODUCT(--ISNUMBER(SEARCH(" "&amp;$CR$2058:$CR$2072&amp;" ",$AA58)))),"")</f>
        <v/>
      </c>
      <c r="BZ58" s="209" t="str">
        <f>IF(58=58,IF($U58="","",IF((BX58)-(0)&gt;0,"X",IF((BY58)-(0)&gt;0,"?",""))),"")</f>
        <v/>
      </c>
      <c r="CA58" s="209" t="str">
        <f>IF(58=58,IF($U58="","",SUMPRODUCT(--ISNUMBER(SEARCH(" "&amp;$CR$2073:$CR$2093&amp;" ",$AA58)))),"")</f>
        <v/>
      </c>
      <c r="CB58" s="209" t="str">
        <f>IF(58=58,IF($U58="","",SUMPRODUCT(--ISNUMBER(SEARCH(" "&amp;$CR$2094:$CR$2133&amp;" ",SUBSTITUTE(SUBSTITUTE($AA58," "&amp;$CR$1367&amp;" "," ")," "&amp;$CR$1366&amp;" "," "))))+--ISNUMBER(SEARCH("poiré",$V58))),"")</f>
        <v/>
      </c>
      <c r="CC58" s="209" t="str">
        <f>IF(58=58,IF($U58="","",IF(OR(CA58&gt;0,ISNUMBER(SEARCH(" vinaigre de vin ",$AA58)),ISNUMBER(SEARCH(" vinaigre au vin ",$AA58))),"X",IF(CB58&gt;0,"?",""))),"")</f>
        <v/>
      </c>
      <c r="CD58" s="209" t="str">
        <f>IF(58=58,IF($U58="","",SUMPRODUCT(--ISNUMBER(SEARCH(" "&amp;$CR$2134:$CR$2146&amp;" ",$AA58)))),"")</f>
        <v/>
      </c>
      <c r="CE58" s="209" t="str">
        <f>IF(58=58,IF($U58="","",SUMPRODUCT(--ISNUMBER(SEARCH(" "&amp;$CR$2147:$CR$2152&amp;" ",$AA58)))),"")</f>
        <v/>
      </c>
      <c r="CF58" s="209" t="str">
        <f>IF(58=58,IF($U58="","",IF((CD58)-(0)&gt;0,"X",IF((CE58)-(0)&gt;0,"?",""))),"")</f>
        <v/>
      </c>
      <c r="CG58" s="209" t="str">
        <f>IF(58=58,IF($U58="","",SUMPRODUCT(--ISNUMBER(SEARCH(" "&amp;$CR$2153:$CR$2252&amp;" ",$CJ58)))),"")</f>
        <v/>
      </c>
      <c r="CH58" s="209" t="str">
        <f>IF(58=58,IF($U58="","",SUMPRODUCT(--ISNUMBER(SEARCH(" "&amp;$CR$2253:$CR$2352&amp;" ",$CJ58)))),"")</f>
        <v/>
      </c>
      <c r="CI58" s="209" t="str">
        <f>IF(58=58,IF($U58="","",SUMPRODUCT(--ISNUMBER(SEARCH(" "&amp;$CR$2353:$CR$2395&amp;" ",$CJ58)))),"")</f>
        <v/>
      </c>
      <c r="CJ58" s="209" t="str">
        <f>IF(58=58,IF($U58="","",SUBSTITUTE(SUBSTITUTE(SUBSTITUTE(SUBSTITUTE(SUBSTITUTE(SUBSTITUTE(SUBSTITUTE(SUBSTITUTE(SUBSTITUTE(SUBSTITUTE(SUBSTITUTE(SUBSTITUTE(SUBSTITUTE(SUBSTITUTE(SUBSTITUTE(SUBSTITUTE($AA58,"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/>
      </c>
      <c r="CK58" s="209" t="str">
        <f>IF(58=58,IF($U58="","",SUMPRODUCT(--ISNUMBER(SEARCH(" "&amp;$CR$2412:$CR$2416&amp;" ",$CJ58)))),"")</f>
        <v/>
      </c>
      <c r="CL58" s="209" t="str">
        <f>IF(58=58,IF($U58="","",IF(SUM(CG58:CI58)&gt;0,"X",IF(CK58&gt;0,"?",""))),"")</f>
        <v/>
      </c>
      <c r="CM58" s="210"/>
      <c r="CN58" s="213" t="s">
        <v>1098</v>
      </c>
      <c r="CO58" s="213" t="s">
        <v>878</v>
      </c>
      <c r="CP58" s="213" t="s">
        <v>879</v>
      </c>
      <c r="CQ58" s="213" t="s">
        <v>1099</v>
      </c>
      <c r="CR58" s="213" t="s">
        <v>1099</v>
      </c>
      <c r="CS58" s="213" t="s">
        <v>881</v>
      </c>
      <c r="CT58" s="213" t="s">
        <v>882</v>
      </c>
      <c r="CU58" s="213" t="s">
        <v>883</v>
      </c>
      <c r="CV58" s="214" t="s">
        <v>884</v>
      </c>
      <c r="CX58" s="212">
        <v>1</v>
      </c>
    </row>
    <row r="59" spans="1:102" ht="21" customHeight="1">
      <c r="A59" s="229">
        <v>53</v>
      </c>
      <c r="B59" s="230"/>
      <c r="C59" s="231" t="str">
        <f t="shared" si="0"/>
        <v/>
      </c>
      <c r="D59" s="232" t="str">
        <f>IF(59=59,IF($B59="","",IF(E59="X",""&amp;"Céréales contenant du gluten","")&amp;IF(F59="X",IF(COUNTIF($E59:$E59,"X")&gt;0,", ","")&amp;"Crustacés","")&amp;IF(G59="X",IF(COUNTIF($E59:$F59,"X")&gt;0,", ","")&amp;"Œufs","")&amp;IF(H59="X",IF(COUNTIF($E59:$G59,"X")&gt;0,", ","")&amp;"Poissons","")&amp;IF(I59="X",IF(COUNTIF($E59:$H59,"X")&gt;0,", ","")&amp;"Arachides","")&amp;IF(J59="X",IF(COUNTIF($E59:$I59,"X")&gt;0,", ","")&amp;"Soja","")&amp;IF(K59="X",IF(COUNTIF($E59:$J59,"X")&gt;0,", ","")&amp;"Lait","")&amp;IF(L59="X",IF(COUNTIF($E59:$K59,"X")&gt;0,", ","")&amp;"Fruits à coque","")&amp;IF(M59="X",IF(COUNTIF($E59:$L59,"X")&gt;0,", ","")&amp;"Céleri","")&amp;IF(N59="X",IF(COUNTIF($E59:$M59,"X")&gt;0,", ","")&amp;"Moutarde","")&amp;IF(O59="X",IF(COUNTIF($E59:$N59,"X")&gt;0,", ","")&amp;"Sésame","")&amp;IF(P59="X",IF(COUNTIF($E59:$O59,"X")&gt;0,", ","")&amp;"Sulfites","")&amp;IF(Q59="X",IF(COUNTIF($E59:$P59,"X")&gt;0,", ","")&amp;"Lupin","")&amp;IF(R59="X",IF(COUNTIF($E59:$Q59,"X")&gt;0,", ","")&amp;"Mollusques","")),"")</f>
        <v/>
      </c>
      <c r="E59" s="233" t="str">
        <f>IF(59=59,IF($B59="","",IF(OR(ISNUMBER(SEARCH(" biere sans gluten ",$AA59)),ISNUMBER(SEARCH(" gluten free beer ",$AA59)),ISNUMBER(SEARCH(" beer gluten free ",$AA59))),"",IF(AF59="X","X",IF(OR(AF59="?",OR(ISNUMBER(SEARCH(" worcestershire ",$AA59)),ISNUMBER(SEARCH(" bloody mary ",$AA59)))),"?","")))),"")</f>
        <v/>
      </c>
      <c r="F59" s="233" t="str">
        <f>IF(59=59,IF($B59="","",AI59),"")</f>
        <v/>
      </c>
      <c r="G59" s="233" t="str">
        <f>IF(59=59,IF($B59="","",IF(OR(TRIM($AA59)="puree pate d amande",TRIM($AA59)="pate puree d amande",TRIM($AA59)="puree d amande",TRIM($AA59)="pate d amande",TRIM($AA59)="pate puree de noisette",TRIM($AA59)="puree pate de noisette",TRIM($AA59)="puree de noisette",TRIM($AA59)="pate de noisette"),"",IF(OR(AM59="X",OR(ISNUMBER(SEARCH(" macaron ",$AA59)),ISNUMBER(SEARCH(" egg nog ",$AA59)),ISNUMBER(SEARCH(" eggnog ",$AA59)))),"X",IF(OR(AM59="?",OR(ISNUMBER(SEARCH(" biscuit decoratif ",$AA59)),ISNUMBER(SEARCH(" whisky sour ",$AA59)),ISNUMBER(SEARCH(" whiskey sour ",$AA59)),ISNUMBER(SEARCH(" amaretto sour ",$AA59)),ISNUMBER(SEARCH(" pisco sour ",$AA59)),ISNUMBER(SEARCH(" clover club ",$AA59)),ISNUMBER(SEARCH(" ramos gin fizz ",$AA59)))),"?","")))),"")</f>
        <v/>
      </c>
      <c r="H59" s="233" t="str">
        <f>IF(59=59,IF($B59="","",IF(ISNUMBER(SEARCH(" colin ",$AA59)),"X",IF(AZ59="X","X",IF(OR(AZ59="?",OR(ISNUMBER(SEARCH(" worcestershire ",$AA59)),ISNUMBER(SEARCH(" bloody mary ",$AA59)))),"?","")))),"")</f>
        <v/>
      </c>
      <c r="I59" s="233" t="str">
        <f>IF(59=59,IF($B59="","",BB59),"")</f>
        <v/>
      </c>
      <c r="J59" s="233" t="str">
        <f>IF(59=59,IF($B59="","",BF59),"")</f>
        <v/>
      </c>
      <c r="K59" s="233" t="str">
        <f>IF(59=59,IF($B59="","",IF(OR(OR(TRIM($AA59)="puree pate d amande",TRIM($AA59)="pate puree d amande",TRIM($AA59)="puree d amande",TRIM($AA59)="pate d amande",TRIM($AA59)="pate puree de noisette",TRIM($AA59)="puree pate de noisette",TRIM($AA59)="puree de noisette",TRIM($AA59)="pate de noisette"),OR(TRIM($AA59)="beurre puree d arachide",TRIM($AA59)="beurre d arachide",TRIM($AA59)="puree d arachide"),OR(TRIM($AA59)="tahini puree de sesame",TRIM($AA59)="tahini",TRIM($AA59)="puree de sesame")),"",IF(OR(TRIM($AA59)="creme de cassis",TRIM($AA59)="creme de menthe",TRIM($AA59)="creme de cacao",TRIM($AA59)="creme de mure",TRIM($AA59)="creme de framboise",TRIM($AA59)="creme de peche",TRIM($AA59)="creme de banane",TRIM($AA59)="liqueur creme de coco",TRIM($AA59)="creme de coco",TRIM($AA59)="spiritueux aromatise arrange creme de spiritueux"),"?",IF(OR(BM59="X",OR(ISNUMBER(SEARCH(" baileys ",$AA59)),ISNUMBER(SEARCH(" irish cream ",$AA59)),ISNUMBER(SEARCH(" creme de whisky ",$AA59)))),"X",IF(OR(BM59="?",OR(OR(TRIM($AA59)="creme de cassis",TRIM($AA59)="creme de menthe",TRIM($AA59)="creme de cacao",TRIM($AA59)="creme de mure",TRIM($AA59)="creme de framboise",TRIM($AA59)="creme de peche",TRIM($AA59)="creme de banane",TRIM($AA59)="liqueur creme de coco",TRIM($AA59)="creme de coco",TRIM($AA59)="spiritueux aromatise arrange creme de spiritueux"),ISNUMBER(SEARCH(" advocaat ",$AA59)),ISNUMBER(SEARCH(" liqueur aux oeufs ",$AA59)),ISNUMBER(SEARCH(" liqueur de chocolat ",$AA59)),ISNUMBER(SEARCH(" liqueur de caramel ",$AA59)),ISNUMBER(SEARCH(" sauce nappage chocolat ",$AA59)),ISNUMBER(SEARCH(" biscuit decoratif ",$AA59)),ISNUMBER(SEARCH(" white russian ",$AA59)),ISNUMBER(SEARCH(" grasshopper ",$AA59)),ISNUMBER(SEARCH(" irish coffee ",$AA59)),ISNUMBER(SEARCH(" ramos gin fizz ",$AA59)),ISNUMBER(SEARCH(" egg nog ",$AA59)),ISNUMBER(SEARCH(" eggnog ",$AA59)))),"?",""))))),"")</f>
        <v/>
      </c>
      <c r="L59" s="233" t="str">
        <f>IF(59=59,IF($B59="","",IF(OR(BQ59="X",OR(OR(TRIM($AA59)="puree pate d amande",TRIM($AA59)="pate puree d amande",TRIM($AA59)="puree d amande",TRIM($AA59)="pate d amande",TRIM($AA59)="pate puree de noisette",TRIM($AA59)="puree pate de noisette",TRIM($AA59)="puree de noisette",TRIM($AA59)="pate de noisette"),ISNUMBER(SEARCH(" macaron ",$AA59)),TRIM($AA59)="fruits a coque")),"X",IF(OR(BQ59="?",OR(ISNUMBER(SEARCH(" sirop d orgeat ",$AA59)),ISNUMBER(SEARCH(" orgeat ",$AA59)),ISNUMBER(SEARCH(" amaretto ",$AA59)))),"?",""))),"")</f>
        <v/>
      </c>
      <c r="M59" s="233" t="str">
        <f>IF(59=59,IF($B59="","",IF(OR(OR(TRIM($AA59)="puree pate d amande",TRIM($AA59)="pate puree d amande",TRIM($AA59)="puree d amande",TRIM($AA59)="pate d amande",TRIM($AA59)="pate puree de noisette",TRIM($AA59)="puree pate de noisette",TRIM($AA59)="puree de noisette",TRIM($AA59)="pate de noisette"),OR(TRIM($AA59)="tahini puree de sesame",TRIM($AA59)="tahini",TRIM($AA59)="puree de sesame")),"",IF(BT59="X","X",IF(OR(BT59="?",ISNUMBER(SEARCH(" bloody mary ",$AA59))),"?","")))),"")</f>
        <v/>
      </c>
      <c r="N59" s="233" t="str">
        <f>IF(59=59,IF($B59="","",IF(OR(OR(TRIM($AA59)="puree pate d amande",TRIM($AA59)="pate puree d amande",TRIM($AA59)="puree d amande",TRIM($AA59)="pate d amande",TRIM($AA59)="pate puree de noisette",TRIM($AA59)="puree pate de noisette",TRIM($AA59)="puree de noisette",TRIM($AA59)="pate de noisette"),OR(TRIM($AA59)="tahini puree de sesame",TRIM($AA59)="tahini",TRIM($AA59)="puree de sesame")),"",IF(BW59="X","X",IF(OR(BW59="?",ISNUMBER(SEARCH(" bloody mary ",$AA59))),"?","")))),"")</f>
        <v/>
      </c>
      <c r="O59" s="233" t="str">
        <f>IF(59=59,IF($B59="","",BZ59),"")</f>
        <v/>
      </c>
      <c r="P59" s="233" t="str">
        <f>IF(59=59,IF($B59="","",CC59),"")</f>
        <v/>
      </c>
      <c r="Q59" s="233" t="str">
        <f>IF(59=59,IF($B59="","",CF59),"")</f>
        <v/>
      </c>
      <c r="R59" s="233" t="str">
        <f>IF(59=59,IF($B59="","",IF(TRIM($AA59)="fruits a coque","",IF(CL59="X","X",IF(OR(CL59="?",OR(ISNUMBER(SEARCH(" clamato ",$AA59)),ISNUMBER(SEARCH(" bloody caesar ",$AA59)))),"?","")))),"")</f>
        <v/>
      </c>
      <c r="S59" s="234" t="str">
        <f>IF(59=59,IF($B59="","",IF(E59="?",""&amp;"Céréales contenant du gluten","")&amp;IF(F59="?",IF(COUNTIF($E59:$E59,"~?")&gt;0,", ","")&amp;"Crustacés","")&amp;IF(G59="?",IF(COUNTIF($E59:$F59,"~?")&gt;0,", ","")&amp;"Œufs","")&amp;IF(H59="?",IF(COUNTIF($E59:$G59,"~?")&gt;0,", ","")&amp;"Poissons","")&amp;IF(I59="?",IF(COUNTIF($E59:$H59,"~?")&gt;0,", ","")&amp;"Arachides","")&amp;IF(J59="?",IF(COUNTIF($E59:$I59,"~?")&gt;0,", ","")&amp;"Soja","")&amp;IF(K59="?",IF(COUNTIF($E59:$J59,"~?")&gt;0,", ","")&amp;"Lait","")&amp;IF(L59="?",IF(COUNTIF($E59:$K59,"~?")&gt;0,", ","")&amp;"Fruits à coque","")&amp;IF(M59="?",IF(COUNTIF($E59:$L59,"~?")&gt;0,", ","")&amp;"Céleri","")&amp;IF(N59="?",IF(COUNTIF($E59:$M59,"~?")&gt;0,", ","")&amp;"Moutarde","")&amp;IF(O59="?",IF(COUNTIF($E59:$N59,"~?")&gt;0,", ","")&amp;"Sésame","")&amp;IF(P59="?",IF(COUNTIF($E59:$O59,"~?")&gt;0,", ","")&amp;"Sulfites","")&amp;IF(Q59="?",IF(COUNTIF($E59:$P59,"~?")&gt;0,", ","")&amp;"Lupin","")&amp;IF(R59="?",IF(COUNTIF($E59:$Q59,"~?")&gt;0,", ","")&amp;"Mollusques","")),"")</f>
        <v/>
      </c>
      <c r="U59" s="209" t="str">
        <f>IF(59=59,IF($B59="","",$B59),"")</f>
        <v/>
      </c>
      <c r="V59" s="209" t="str">
        <f>IF(59=59,LOWER(CLEAN(SUBSTITUTE(SUBSTITUTE(SUBSTITUTE(SUBSTITUTE($U59,CHAR(160)," ")," "," "),CHAR(10)," "),CHAR(13)," "))),"")</f>
        <v/>
      </c>
      <c r="W59" s="209" t="str">
        <f>IF(59=59,SUBSTITUTE(SUBSTITUTE(SUBSTITUTE(SUBSTITUTE(SUBSTITUTE(SUBSTITUTE(SUBSTITUTE(SUBSTITUTE(SUBSTITUTE(SUBSTITUTE(SUBSTITUTE(SUBSTITUTE($V59,"œ","oe"),"æ","ae"),"à","a"),"á","a"),"â","a"),"ä","a"),"ã","a"),"ç","c"),"è","e"),"é","e"),"ê","e"),"ë","e"),"")</f>
        <v/>
      </c>
      <c r="X59" s="209" t="str">
        <f>IF(59=59,SUBSTITUTE(SUBSTITUTE(SUBSTITUTE(SUBSTITUTE(SUBSTITUTE(SUBSTITUTE(SUBSTITUTE(SUBSTITUTE(SUBSTITUTE(SUBSTITUTE(SUBSTITUTE(SUBSTITUTE(SUBSTITUTE(SUBSTITUTE(SUBSTITUTE(SUBSTITUTE($W59,"ì","i"),"í","i"),"î","i"),"ï","i"),"ñ","n"),"ò","o"),"ó","o"),"ô","o"),"ö","o"),"õ","o"),"ù","u"),"ú","u"),"û","u"),"ü","u"),"ý","y"),"ÿ","y"),"")</f>
        <v/>
      </c>
      <c r="Y59" s="209" t="str">
        <f>IF(59=59,SUBSTITUTE(SUBSTITUTE(SUBSTITUTE(SUBSTITUTE(SUBSTITUTE(SUBSTITUTE(SUBSTITUTE(SUBSTITUTE(SUBSTITUTE(SUBSTITUTE(SUBSTITUTE(SUBSTITUTE(SUBSTITUTE(SUBSTITUTE($X59,"’"," "),"`"," "),"–"," "),"—"," "),"-"," "),"'"," "),"/"," "),"_"," "),","," "),"."," "),"("," "),")"," "),";"," "),":"," "),"")</f>
        <v/>
      </c>
      <c r="Z59" s="209" t="str">
        <f>IF(59=59,SUBSTITUTE(SUBSTITUTE(SUBSTITUTE(SUBSTITUTE(SUBSTITUTE(SUBSTITUTE(SUBSTITUTE(SUBSTITUTE(SUBSTITUTE(SUBSTITUTE(SUBSTITUTE(SUBSTITUTE(SUBSTITUTE(SUBSTITUTE(SUBSTITUTE($Y59,"!"," "),"?"," "),"+"," "),"*"," "),"&amp;"," "),"["," "),"]"," "),"{"," "),"}"," "),"%"," "),"="," "),"\"," "),"|"," "),"&lt;"," "),"&gt;"," "),"")</f>
        <v/>
      </c>
      <c r="AA59" s="209" t="str">
        <f>IF(59=59," "&amp;TRIM(SUBSTITUTE(SUBSTITUTE(SUBSTITUTE(SUBSTITUTE(SUBSTITUTE(SUBSTITUTE($Z59,CHAR(34)," "),"  "," "),"  "," "),"  "," "),"  "," "),"  "," "))&amp;" ","")</f>
        <v xml:space="preserve">  </v>
      </c>
      <c r="AB59" s="209" t="str">
        <f>IF(59=59,IF($U59="","",SUMPRODUCT(--ISNUMBER(SEARCH(" "&amp;$CR$2:$CR$101&amp;" ",$AD59)))),"")</f>
        <v/>
      </c>
      <c r="AC59" s="209" t="str">
        <f>IF(59=59,IF($U59="","",SUMPRODUCT(--ISNUMBER(SEARCH(" "&amp;$CR$102:$CR$151&amp;" ",$AD59)))),"")</f>
        <v/>
      </c>
      <c r="AD59" s="209" t="str">
        <f t="shared" si="1"/>
        <v/>
      </c>
      <c r="AE59" s="209" t="str">
        <f t="shared" si="2"/>
        <v/>
      </c>
      <c r="AF59" s="209" t="str">
        <f>IF(59=59,IF($U59="","",IF(SUM(AB59:AC59)+SUMPRODUCT(--ISNUMBER(SEARCH(" "&amp;$CR$2418:$CR$2420&amp;" ",$AD59)))&gt;0,"X",IF(AE59&gt;0,"?",""))),"")</f>
        <v/>
      </c>
      <c r="AG59" s="209" t="str">
        <f>IF(59=59,IF($U59="","",SUMPRODUCT(--ISNUMBER(SEARCH(" "&amp;$CR$206:$CR$305&amp;" ",$AA59)))),"")</f>
        <v/>
      </c>
      <c r="AH59" s="209" t="str">
        <f>IF(59=59,IF($U59="","",SUMPRODUCT(--ISNUMBER(SEARCH(" "&amp;$CR$306:$CR$340&amp;" ",$AA59)))),"")</f>
        <v/>
      </c>
      <c r="AI59" s="209" t="str">
        <f>IF(59=59,IF($U59="","",IF((SUM(AG59:AH59))-(0)&gt;0,"X",IF((0)-(0)&gt;0,"?",""))),"")</f>
        <v/>
      </c>
      <c r="AJ59" s="209" t="str">
        <f>IF(59=59,IF($U59="","",SUMPRODUCT(--ISNUMBER(SEARCH(" "&amp;$CR$341:$CR$398&amp;" ",$AA59)))),"")</f>
        <v/>
      </c>
      <c r="AK59" s="209" t="str">
        <f>IF(59=59,IF($U59="","",SUMPRODUCT(--ISNUMBER(SEARCH(" "&amp;$CR$399:$CR$426&amp;" ",$AL59)))+SUMPRODUCT(--ISNUMBER(SEARCH(" "&amp;$CR$2440:$CR$2453&amp;" ",$AL59)))),"")</f>
        <v/>
      </c>
      <c r="AL59" s="209" t="str">
        <f>IF(59=59,IF($U59="","",SUBSTITUTE(SUBSTITUTE(SUBSTITUTE(SUBSTITUTE(SUBSTITUTE(SUBSTITUTE(SUBSTITUTE(SUBSTITUTE(SUBSTITUTE(SUBSTITUTE(SUBSTITUTE(SUBSTITUTE(SUBSTITUTE(SUBSTITUTE($AA59,"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/>
      </c>
      <c r="AM59" s="209" t="str">
        <f>IF(59=59,IF($U59="","",IF(AJ59&gt;0,"X",IF(AK59&gt;0,"?",""))),"")</f>
        <v/>
      </c>
      <c r="AN59" s="209" t="str">
        <f>IF(59=59,IF($U59="","",SUMPRODUCT(--ISNUMBER(SEARCH(" "&amp;$CR$436:$CR$535&amp;" ",$AX59)))),"")</f>
        <v/>
      </c>
      <c r="AO59" s="209" t="str">
        <f>IF(59=59,IF($U59="","",SUMPRODUCT(--ISNUMBER(SEARCH(" "&amp;$CR$536:$CR$635&amp;" ",$AX59)))),"")</f>
        <v/>
      </c>
      <c r="AP59" s="209" t="str">
        <f>IF(59=59,IF($U59="","",SUMPRODUCT(--ISNUMBER(SEARCH(" "&amp;$CR$636:$CR$735&amp;" ",$AX59)))),"")</f>
        <v/>
      </c>
      <c r="AQ59" s="209" t="str">
        <f>IF(59=59,IF($U59="","",SUMPRODUCT(--ISNUMBER(SEARCH(" "&amp;$CR$736:$CR$835&amp;" ",$AX59)))),"")</f>
        <v/>
      </c>
      <c r="AR59" s="209" t="str">
        <f>IF(59=59,IF($U59="","",SUMPRODUCT(--ISNUMBER(SEARCH(" "&amp;$CR$836:$CR$935&amp;" ",$AX59)))),"")</f>
        <v/>
      </c>
      <c r="AS59" s="209" t="str">
        <f>IF(59=59,IF($U59="","",SUMPRODUCT(--ISNUMBER(SEARCH(" "&amp;$CR$936:$CR$1035&amp;" ",$AX59)))),"")</f>
        <v/>
      </c>
      <c r="AT59" s="209" t="str">
        <f>IF(59=59,IF($U59="","",SUMPRODUCT(--ISNUMBER(SEARCH(" "&amp;$CR$1036:$CR$1135&amp;" ",$AX59)))),"")</f>
        <v/>
      </c>
      <c r="AU59" s="209" t="str">
        <f>IF(59=59,IF($U59="","",SUMPRODUCT(--ISNUMBER(SEARCH(" "&amp;$CR$1136:$CR$1235&amp;" ",$AX59)))),"")</f>
        <v/>
      </c>
      <c r="AV59" s="209" t="str">
        <f>IF(59=59,IF($U59="","",SUMPRODUCT(--ISNUMBER(SEARCH(" "&amp;$CR$1236:$CR$1335&amp;" ",$AX59)))),"")</f>
        <v/>
      </c>
      <c r="AW59" s="209" t="str">
        <f>IF(59=59,IF($U59="","",SUMPRODUCT(--ISNUMBER(SEARCH(" "&amp;$CR$1336:$CR$1363&amp;" ",$AX59)))),"")</f>
        <v/>
      </c>
      <c r="AX59" s="209" t="str">
        <f>IF(59=59,IF($U59="","",SUBSTITUTE(SUBSTITUTE(SUBSTITUTE(SUBSTITUTE(SUBSTITUTE(SUBSTITUTE(SUBSTITUTE(SUBSTITUTE(SUBSTITUTE($AA59,"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/>
      </c>
      <c r="AY59" s="209" t="str">
        <f>IF(59=59,IF($U59="","",SUMPRODUCT(--ISNUMBER(SEARCH(" "&amp;$CR$1373:$CR$1383&amp;" ",$AX59)))),"")</f>
        <v/>
      </c>
      <c r="AZ59" s="209" t="str">
        <f>IF(59=59,IF($U59="","",IF(SUM(AN59:AW59)+SUMPRODUCT(--ISNUMBER(SEARCH(" "&amp;$CR$2421:$CR$2422&amp;" ",$AX59)))&gt;0,"X",IF(AY59&gt;0,"?",""))),"")</f>
        <v/>
      </c>
      <c r="BA59" s="209" t="str">
        <f>IF(59=59,IF($U59="","",SUMPRODUCT(--ISNUMBER(SEARCH(" "&amp;$CR$1384:$CR$1404&amp;" ",$AA59)))),"")</f>
        <v/>
      </c>
      <c r="BB59" s="209" t="str">
        <f>IF(59=59,IF($U59="","",IF((BA59)-(0)&gt;0,"X",IF((0)-(0)&gt;0,"?",""))),"")</f>
        <v/>
      </c>
      <c r="BC59" s="209" t="str">
        <f>IF(59=59,IF($U59="","",SUMPRODUCT(--ISNUMBER(SEARCH(" "&amp;$CR$1405:$CR$1442&amp;" ",$BD59)))),"")</f>
        <v/>
      </c>
      <c r="BD59" s="209" t="str">
        <f>IF(59=59,IF($U59="","",SUBSTITUTE(SUBSTITUTE($AA59," "&amp;$CR$1443&amp;" "," ")," "&amp;$CR$1444&amp;" "," ")),"")</f>
        <v/>
      </c>
      <c r="BE59" s="209" t="str">
        <f>IF(59=59,IF($U59="","",SUMPRODUCT(--ISNUMBER(SEARCH(" "&amp;$CR$1445:$CR$1455&amp;" ",$BD59)))),"")</f>
        <v/>
      </c>
      <c r="BF59" s="209" t="str">
        <f>IF(59=59,IF($U59="","",IF(BC59&gt;0,"X",IF(BE59&gt;0,"?",""))),"")</f>
        <v/>
      </c>
      <c r="BG59" s="209" t="str">
        <f>IF(59=59,IF($U59="","",SUMPRODUCT(--ISNUMBER(SEARCH(" "&amp;$CR$1456:$CR$1555&amp;" ",$BJ59)))),"")</f>
        <v/>
      </c>
      <c r="BH59" s="209" t="str">
        <f>IF(59=59,IF($U59="","",SUMPRODUCT(--ISNUMBER(SEARCH(" "&amp;$CR$1556:$CR$1655&amp;" ",$BJ59)))),"")</f>
        <v/>
      </c>
      <c r="BI59" s="209" t="str">
        <f>IF(59=59,IF($U59="","",SUMPRODUCT(--ISNUMBER(SEARCH(" "&amp;$CR$1656:$CR$1739&amp;" ",$BJ59)))),"")</f>
        <v/>
      </c>
      <c r="BJ59" s="209" t="str">
        <f>IF(59=59,IF($U59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59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/>
      </c>
      <c r="BK59" s="209" t="str">
        <f>IF(59=59,IF($U59="","",SUMPRODUCT(--ISNUMBER(SEARCH(" "&amp;$CR$1790:$CR$1869&amp;" ",$BL59)))+SUMPRODUCT(--ISNUMBER(SEARCH(" "&amp;$CR$2440:$CR$2453&amp;" ",$BL59)))),"")</f>
        <v/>
      </c>
      <c r="BL59" s="209" t="str">
        <f>IF(59=59,IF($U59="","",SUBSTITUTE(SUBSTITUTE(SUBSTITUTE(SUBSTITUTE(SUBSTITUTE(SUBSTITUTE(SUBSTITUTE(SUBSTITUTE(SUBSTITUTE(SUBSTITUTE(SUBSTITUTE(SUBSTITUTE(SUBSTITUTE($BJ59,"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/>
      </c>
      <c r="BM59" s="209" t="str">
        <f>IF(59=59,IF($U59="","",IF(SUM(BG59:BI59)+SUMPRODUCT(--ISNUMBER(SEARCH(" "&amp;$CR$2423:$CR$2424&amp;" ",$BJ59)))&gt;0,"X",IF(BK59&gt;0,"?",""))),"")</f>
        <v/>
      </c>
      <c r="BN59" s="209" t="str">
        <f>IF(59=59,IF($U59="","",SUMPRODUCT(--ISNUMBER(SEARCH(" "&amp;$CR$1879:$CR$1936&amp;" ",$BO59)))),"")</f>
        <v/>
      </c>
      <c r="BO59" s="209" t="str">
        <f>IF(59=59,IF($U59="","",SUBSTITUTE(SUBSTITUTE(SUBSTITUTE(SUBSTITUTE(SUBSTITUTE(SUBSTITUTE(SUBSTITUTE(SUBSTITUTE(SUBSTITUTE(SUBSTITUTE(SUBSTITUTE(SUBSTITUTE(SUBSTITUTE(SUBSTITUTE(SUBSTITUTE(SUBSTITUTE(SUBSTITUTE(SUBSTITUTE(SUBSTITUTE(SUBSTITUTE(SUBSTITUTE(SUBSTITUTE(SUBSTITUTE($AA59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/>
      </c>
      <c r="BP59" s="209" t="str">
        <f>IF(59=59,IF($U59="","",SUMPRODUCT(--ISNUMBER(SEARCH(" "&amp;$CR$1960:$CR$1976&amp;" ",$BO59)))),"")</f>
        <v/>
      </c>
      <c r="BQ59" s="209" t="str">
        <f>IF(59=59,IF($U59="","",IF(BN59&gt;0,"X",IF(BP59&gt;0,"?",""))),"")</f>
        <v/>
      </c>
      <c r="BR59" s="209" t="str">
        <f>IF(59=59,IF($U59="","",SUMPRODUCT(--ISNUMBER(SEARCH(" "&amp;$CR$1977:$CR$1990&amp;" ",$AA59)))),"")</f>
        <v/>
      </c>
      <c r="BS59" s="209" t="str">
        <f>IF(59=59,IF($U59="","",SUMPRODUCT(--ISNUMBER(SEARCH(" "&amp;$CR$1991:$CR$2005&amp;" ",$AA59)))),"")</f>
        <v/>
      </c>
      <c r="BT59" s="209" t="str">
        <f>IF(59=59,IF($U59="","",IF((BR59)-(0)&gt;0,"X",IF((BS59)-(0)&gt;0,"?",""))),"")</f>
        <v/>
      </c>
      <c r="BU59" s="209" t="str">
        <f>IF(59=59,IF($U59="","",SUMPRODUCT(--ISNUMBER(SEARCH(" "&amp;$CR$2006:$CR$2023&amp;" ",$AA59)))),"")</f>
        <v/>
      </c>
      <c r="BV59" s="209" t="str">
        <f>IF(59=59,IF($U59="","",SUMPRODUCT(--ISNUMBER(SEARCH(" "&amp;$CR$2024:$CR$2038&amp;" ",$AA59)))),"")</f>
        <v/>
      </c>
      <c r="BW59" s="209" t="str">
        <f>IF(59=59,IF($U59="","",IF((BU59)-(0)&gt;0,"X",IF((BV59)-(0)&gt;0,"?",""))),"")</f>
        <v/>
      </c>
      <c r="BX59" s="209" t="str">
        <f>IF(59=59,IF($U59="","",SUMPRODUCT(--ISNUMBER(SEARCH(" "&amp;$CR$2039:$CR$2057&amp;" ",$AA59)))),"")</f>
        <v/>
      </c>
      <c r="BY59" s="209" t="str">
        <f>IF(59=59,IF($U59="","",SUMPRODUCT(--ISNUMBER(SEARCH(" "&amp;$CR$2058:$CR$2072&amp;" ",$AA59)))),"")</f>
        <v/>
      </c>
      <c r="BZ59" s="209" t="str">
        <f>IF(59=59,IF($U59="","",IF((BX59)-(0)&gt;0,"X",IF((BY59)-(0)&gt;0,"?",""))),"")</f>
        <v/>
      </c>
      <c r="CA59" s="209" t="str">
        <f>IF(59=59,IF($U59="","",SUMPRODUCT(--ISNUMBER(SEARCH(" "&amp;$CR$2073:$CR$2093&amp;" ",$AA59)))),"")</f>
        <v/>
      </c>
      <c r="CB59" s="209" t="str">
        <f>IF(59=59,IF($U59="","",SUMPRODUCT(--ISNUMBER(SEARCH(" "&amp;$CR$2094:$CR$2133&amp;" ",SUBSTITUTE(SUBSTITUTE($AA59," "&amp;$CR$1367&amp;" "," ")," "&amp;$CR$1366&amp;" "," "))))+--ISNUMBER(SEARCH("poiré",$V59))),"")</f>
        <v/>
      </c>
      <c r="CC59" s="209" t="str">
        <f>IF(59=59,IF($U59="","",IF(OR(CA59&gt;0,ISNUMBER(SEARCH(" vinaigre de vin ",$AA59)),ISNUMBER(SEARCH(" vinaigre au vin ",$AA59))),"X",IF(CB59&gt;0,"?",""))),"")</f>
        <v/>
      </c>
      <c r="CD59" s="209" t="str">
        <f>IF(59=59,IF($U59="","",SUMPRODUCT(--ISNUMBER(SEARCH(" "&amp;$CR$2134:$CR$2146&amp;" ",$AA59)))),"")</f>
        <v/>
      </c>
      <c r="CE59" s="209" t="str">
        <f>IF(59=59,IF($U59="","",SUMPRODUCT(--ISNUMBER(SEARCH(" "&amp;$CR$2147:$CR$2152&amp;" ",$AA59)))),"")</f>
        <v/>
      </c>
      <c r="CF59" s="209" t="str">
        <f>IF(59=59,IF($U59="","",IF((CD59)-(0)&gt;0,"X",IF((CE59)-(0)&gt;0,"?",""))),"")</f>
        <v/>
      </c>
      <c r="CG59" s="209" t="str">
        <f>IF(59=59,IF($U59="","",SUMPRODUCT(--ISNUMBER(SEARCH(" "&amp;$CR$2153:$CR$2252&amp;" ",$CJ59)))),"")</f>
        <v/>
      </c>
      <c r="CH59" s="209" t="str">
        <f>IF(59=59,IF($U59="","",SUMPRODUCT(--ISNUMBER(SEARCH(" "&amp;$CR$2253:$CR$2352&amp;" ",$CJ59)))),"")</f>
        <v/>
      </c>
      <c r="CI59" s="209" t="str">
        <f>IF(59=59,IF($U59="","",SUMPRODUCT(--ISNUMBER(SEARCH(" "&amp;$CR$2353:$CR$2395&amp;" ",$CJ59)))),"")</f>
        <v/>
      </c>
      <c r="CJ59" s="209" t="str">
        <f>IF(59=59,IF($U59="","",SUBSTITUTE(SUBSTITUTE(SUBSTITUTE(SUBSTITUTE(SUBSTITUTE(SUBSTITUTE(SUBSTITUTE(SUBSTITUTE(SUBSTITUTE(SUBSTITUTE(SUBSTITUTE(SUBSTITUTE(SUBSTITUTE(SUBSTITUTE(SUBSTITUTE(SUBSTITUTE($AA59,"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/>
      </c>
      <c r="CK59" s="209" t="str">
        <f>IF(59=59,IF($U59="","",SUMPRODUCT(--ISNUMBER(SEARCH(" "&amp;$CR$2412:$CR$2416&amp;" ",$CJ59)))),"")</f>
        <v/>
      </c>
      <c r="CL59" s="209" t="str">
        <f>IF(59=59,IF($U59="","",IF(SUM(CG59:CI59)&gt;0,"X",IF(CK59&gt;0,"?",""))),"")</f>
        <v/>
      </c>
      <c r="CM59" s="210"/>
      <c r="CN59" s="213" t="s">
        <v>1100</v>
      </c>
      <c r="CO59" s="213" t="s">
        <v>878</v>
      </c>
      <c r="CP59" s="213" t="s">
        <v>879</v>
      </c>
      <c r="CQ59" s="213" t="s">
        <v>1101</v>
      </c>
      <c r="CR59" s="213" t="s">
        <v>1101</v>
      </c>
      <c r="CS59" s="213" t="s">
        <v>881</v>
      </c>
      <c r="CT59" s="213" t="s">
        <v>882</v>
      </c>
      <c r="CU59" s="213" t="s">
        <v>883</v>
      </c>
      <c r="CV59" s="214" t="s">
        <v>884</v>
      </c>
      <c r="CX59" s="212">
        <v>1</v>
      </c>
    </row>
    <row r="60" spans="1:102" ht="21" customHeight="1">
      <c r="A60" s="229">
        <v>54</v>
      </c>
      <c r="B60" s="230"/>
      <c r="C60" s="231" t="str">
        <f t="shared" si="0"/>
        <v/>
      </c>
      <c r="D60" s="232" t="str">
        <f>IF(60=60,IF($B60="","",IF(E60="X",""&amp;"Céréales contenant du gluten","")&amp;IF(F60="X",IF(COUNTIF($E60:$E60,"X")&gt;0,", ","")&amp;"Crustacés","")&amp;IF(G60="X",IF(COUNTIF($E60:$F60,"X")&gt;0,", ","")&amp;"Œufs","")&amp;IF(H60="X",IF(COUNTIF($E60:$G60,"X")&gt;0,", ","")&amp;"Poissons","")&amp;IF(I60="X",IF(COUNTIF($E60:$H60,"X")&gt;0,", ","")&amp;"Arachides","")&amp;IF(J60="X",IF(COUNTIF($E60:$I60,"X")&gt;0,", ","")&amp;"Soja","")&amp;IF(K60="X",IF(COUNTIF($E60:$J60,"X")&gt;0,", ","")&amp;"Lait","")&amp;IF(L60="X",IF(COUNTIF($E60:$K60,"X")&gt;0,", ","")&amp;"Fruits à coque","")&amp;IF(M60="X",IF(COUNTIF($E60:$L60,"X")&gt;0,", ","")&amp;"Céleri","")&amp;IF(N60="X",IF(COUNTIF($E60:$M60,"X")&gt;0,", ","")&amp;"Moutarde","")&amp;IF(O60="X",IF(COUNTIF($E60:$N60,"X")&gt;0,", ","")&amp;"Sésame","")&amp;IF(P60="X",IF(COUNTIF($E60:$O60,"X")&gt;0,", ","")&amp;"Sulfites","")&amp;IF(Q60="X",IF(COUNTIF($E60:$P60,"X")&gt;0,", ","")&amp;"Lupin","")&amp;IF(R60="X",IF(COUNTIF($E60:$Q60,"X")&gt;0,", ","")&amp;"Mollusques","")),"")</f>
        <v/>
      </c>
      <c r="E60" s="233" t="str">
        <f>IF(60=60,IF($B60="","",IF(OR(ISNUMBER(SEARCH(" biere sans gluten ",$AA60)),ISNUMBER(SEARCH(" gluten free beer ",$AA60)),ISNUMBER(SEARCH(" beer gluten free ",$AA60))),"",IF(AF60="X","X",IF(OR(AF60="?",OR(ISNUMBER(SEARCH(" worcestershire ",$AA60)),ISNUMBER(SEARCH(" bloody mary ",$AA60)))),"?","")))),"")</f>
        <v/>
      </c>
      <c r="F60" s="233" t="str">
        <f>IF(60=60,IF($B60="","",AI60),"")</f>
        <v/>
      </c>
      <c r="G60" s="233" t="str">
        <f>IF(60=60,IF($B60="","",IF(OR(TRIM($AA60)="puree pate d amande",TRIM($AA60)="pate puree d amande",TRIM($AA60)="puree d amande",TRIM($AA60)="pate d amande",TRIM($AA60)="pate puree de noisette",TRIM($AA60)="puree pate de noisette",TRIM($AA60)="puree de noisette",TRIM($AA60)="pate de noisette"),"",IF(OR(AM60="X",OR(ISNUMBER(SEARCH(" macaron ",$AA60)),ISNUMBER(SEARCH(" egg nog ",$AA60)),ISNUMBER(SEARCH(" eggnog ",$AA60)))),"X",IF(OR(AM60="?",OR(ISNUMBER(SEARCH(" biscuit decoratif ",$AA60)),ISNUMBER(SEARCH(" whisky sour ",$AA60)),ISNUMBER(SEARCH(" whiskey sour ",$AA60)),ISNUMBER(SEARCH(" amaretto sour ",$AA60)),ISNUMBER(SEARCH(" pisco sour ",$AA60)),ISNUMBER(SEARCH(" clover club ",$AA60)),ISNUMBER(SEARCH(" ramos gin fizz ",$AA60)))),"?","")))),"")</f>
        <v/>
      </c>
      <c r="H60" s="233" t="str">
        <f>IF(60=60,IF($B60="","",IF(ISNUMBER(SEARCH(" colin ",$AA60)),"X",IF(AZ60="X","X",IF(OR(AZ60="?",OR(ISNUMBER(SEARCH(" worcestershire ",$AA60)),ISNUMBER(SEARCH(" bloody mary ",$AA60)))),"?","")))),"")</f>
        <v/>
      </c>
      <c r="I60" s="233" t="str">
        <f>IF(60=60,IF($B60="","",BB60),"")</f>
        <v/>
      </c>
      <c r="J60" s="233" t="str">
        <f>IF(60=60,IF($B60="","",BF60),"")</f>
        <v/>
      </c>
      <c r="K60" s="233" t="str">
        <f>IF(60=60,IF($B60="","",IF(OR(OR(TRIM($AA60)="puree pate d amande",TRIM($AA60)="pate puree d amande",TRIM($AA60)="puree d amande",TRIM($AA60)="pate d amande",TRIM($AA60)="pate puree de noisette",TRIM($AA60)="puree pate de noisette",TRIM($AA60)="puree de noisette",TRIM($AA60)="pate de noisette"),OR(TRIM($AA60)="beurre puree d arachide",TRIM($AA60)="beurre d arachide",TRIM($AA60)="puree d arachide"),OR(TRIM($AA60)="tahini puree de sesame",TRIM($AA60)="tahini",TRIM($AA60)="puree de sesame")),"",IF(OR(TRIM($AA60)="creme de cassis",TRIM($AA60)="creme de menthe",TRIM($AA60)="creme de cacao",TRIM($AA60)="creme de mure",TRIM($AA60)="creme de framboise",TRIM($AA60)="creme de peche",TRIM($AA60)="creme de banane",TRIM($AA60)="liqueur creme de coco",TRIM($AA60)="creme de coco",TRIM($AA60)="spiritueux aromatise arrange creme de spiritueux"),"?",IF(OR(BM60="X",OR(ISNUMBER(SEARCH(" baileys ",$AA60)),ISNUMBER(SEARCH(" irish cream ",$AA60)),ISNUMBER(SEARCH(" creme de whisky ",$AA60)))),"X",IF(OR(BM60="?",OR(OR(TRIM($AA60)="creme de cassis",TRIM($AA60)="creme de menthe",TRIM($AA60)="creme de cacao",TRIM($AA60)="creme de mure",TRIM($AA60)="creme de framboise",TRIM($AA60)="creme de peche",TRIM($AA60)="creme de banane",TRIM($AA60)="liqueur creme de coco",TRIM($AA60)="creme de coco",TRIM($AA60)="spiritueux aromatise arrange creme de spiritueux"),ISNUMBER(SEARCH(" advocaat ",$AA60)),ISNUMBER(SEARCH(" liqueur aux oeufs ",$AA60)),ISNUMBER(SEARCH(" liqueur de chocolat ",$AA60)),ISNUMBER(SEARCH(" liqueur de caramel ",$AA60)),ISNUMBER(SEARCH(" sauce nappage chocolat ",$AA60)),ISNUMBER(SEARCH(" biscuit decoratif ",$AA60)),ISNUMBER(SEARCH(" white russian ",$AA60)),ISNUMBER(SEARCH(" grasshopper ",$AA60)),ISNUMBER(SEARCH(" irish coffee ",$AA60)),ISNUMBER(SEARCH(" ramos gin fizz ",$AA60)),ISNUMBER(SEARCH(" egg nog ",$AA60)),ISNUMBER(SEARCH(" eggnog ",$AA60)))),"?",""))))),"")</f>
        <v/>
      </c>
      <c r="L60" s="233" t="str">
        <f>IF(60=60,IF($B60="","",IF(OR(BQ60="X",OR(OR(TRIM($AA60)="puree pate d amande",TRIM($AA60)="pate puree d amande",TRIM($AA60)="puree d amande",TRIM($AA60)="pate d amande",TRIM($AA60)="pate puree de noisette",TRIM($AA60)="puree pate de noisette",TRIM($AA60)="puree de noisette",TRIM($AA60)="pate de noisette"),ISNUMBER(SEARCH(" macaron ",$AA60)),TRIM($AA60)="fruits a coque")),"X",IF(OR(BQ60="?",OR(ISNUMBER(SEARCH(" sirop d orgeat ",$AA60)),ISNUMBER(SEARCH(" orgeat ",$AA60)),ISNUMBER(SEARCH(" amaretto ",$AA60)))),"?",""))),"")</f>
        <v/>
      </c>
      <c r="M60" s="233" t="str">
        <f>IF(60=60,IF($B60="","",IF(OR(OR(TRIM($AA60)="puree pate d amande",TRIM($AA60)="pate puree d amande",TRIM($AA60)="puree d amande",TRIM($AA60)="pate d amande",TRIM($AA60)="pate puree de noisette",TRIM($AA60)="puree pate de noisette",TRIM($AA60)="puree de noisette",TRIM($AA60)="pate de noisette"),OR(TRIM($AA60)="tahini puree de sesame",TRIM($AA60)="tahini",TRIM($AA60)="puree de sesame")),"",IF(BT60="X","X",IF(OR(BT60="?",ISNUMBER(SEARCH(" bloody mary ",$AA60))),"?","")))),"")</f>
        <v/>
      </c>
      <c r="N60" s="233" t="str">
        <f>IF(60=60,IF($B60="","",IF(OR(OR(TRIM($AA60)="puree pate d amande",TRIM($AA60)="pate puree d amande",TRIM($AA60)="puree d amande",TRIM($AA60)="pate d amande",TRIM($AA60)="pate puree de noisette",TRIM($AA60)="puree pate de noisette",TRIM($AA60)="puree de noisette",TRIM($AA60)="pate de noisette"),OR(TRIM($AA60)="tahini puree de sesame",TRIM($AA60)="tahini",TRIM($AA60)="puree de sesame")),"",IF(BW60="X","X",IF(OR(BW60="?",ISNUMBER(SEARCH(" bloody mary ",$AA60))),"?","")))),"")</f>
        <v/>
      </c>
      <c r="O60" s="233" t="str">
        <f>IF(60=60,IF($B60="","",BZ60),"")</f>
        <v/>
      </c>
      <c r="P60" s="233" t="str">
        <f>IF(60=60,IF($B60="","",CC60),"")</f>
        <v/>
      </c>
      <c r="Q60" s="233" t="str">
        <f>IF(60=60,IF($B60="","",CF60),"")</f>
        <v/>
      </c>
      <c r="R60" s="233" t="str">
        <f>IF(60=60,IF($B60="","",IF(TRIM($AA60)="fruits a coque","",IF(CL60="X","X",IF(OR(CL60="?",OR(ISNUMBER(SEARCH(" clamato ",$AA60)),ISNUMBER(SEARCH(" bloody caesar ",$AA60)))),"?","")))),"")</f>
        <v/>
      </c>
      <c r="S60" s="234" t="str">
        <f>IF(60=60,IF($B60="","",IF(E60="?",""&amp;"Céréales contenant du gluten","")&amp;IF(F60="?",IF(COUNTIF($E60:$E60,"~?")&gt;0,", ","")&amp;"Crustacés","")&amp;IF(G60="?",IF(COUNTIF($E60:$F60,"~?")&gt;0,", ","")&amp;"Œufs","")&amp;IF(H60="?",IF(COUNTIF($E60:$G60,"~?")&gt;0,", ","")&amp;"Poissons","")&amp;IF(I60="?",IF(COUNTIF($E60:$H60,"~?")&gt;0,", ","")&amp;"Arachides","")&amp;IF(J60="?",IF(COUNTIF($E60:$I60,"~?")&gt;0,", ","")&amp;"Soja","")&amp;IF(K60="?",IF(COUNTIF($E60:$J60,"~?")&gt;0,", ","")&amp;"Lait","")&amp;IF(L60="?",IF(COUNTIF($E60:$K60,"~?")&gt;0,", ","")&amp;"Fruits à coque","")&amp;IF(M60="?",IF(COUNTIF($E60:$L60,"~?")&gt;0,", ","")&amp;"Céleri","")&amp;IF(N60="?",IF(COUNTIF($E60:$M60,"~?")&gt;0,", ","")&amp;"Moutarde","")&amp;IF(O60="?",IF(COUNTIF($E60:$N60,"~?")&gt;0,", ","")&amp;"Sésame","")&amp;IF(P60="?",IF(COUNTIF($E60:$O60,"~?")&gt;0,", ","")&amp;"Sulfites","")&amp;IF(Q60="?",IF(COUNTIF($E60:$P60,"~?")&gt;0,", ","")&amp;"Lupin","")&amp;IF(R60="?",IF(COUNTIF($E60:$Q60,"~?")&gt;0,", ","")&amp;"Mollusques","")),"")</f>
        <v/>
      </c>
      <c r="U60" s="209" t="str">
        <f>IF(60=60,IF($B60="","",$B60),"")</f>
        <v/>
      </c>
      <c r="V60" s="209" t="str">
        <f>IF(60=60,LOWER(CLEAN(SUBSTITUTE(SUBSTITUTE(SUBSTITUTE(SUBSTITUTE($U60,CHAR(160)," ")," "," "),CHAR(10)," "),CHAR(13)," "))),"")</f>
        <v/>
      </c>
      <c r="W60" s="209" t="str">
        <f>IF(60=60,SUBSTITUTE(SUBSTITUTE(SUBSTITUTE(SUBSTITUTE(SUBSTITUTE(SUBSTITUTE(SUBSTITUTE(SUBSTITUTE(SUBSTITUTE(SUBSTITUTE(SUBSTITUTE(SUBSTITUTE($V60,"œ","oe"),"æ","ae"),"à","a"),"á","a"),"â","a"),"ä","a"),"ã","a"),"ç","c"),"è","e"),"é","e"),"ê","e"),"ë","e"),"")</f>
        <v/>
      </c>
      <c r="X60" s="209" t="str">
        <f>IF(60=60,SUBSTITUTE(SUBSTITUTE(SUBSTITUTE(SUBSTITUTE(SUBSTITUTE(SUBSTITUTE(SUBSTITUTE(SUBSTITUTE(SUBSTITUTE(SUBSTITUTE(SUBSTITUTE(SUBSTITUTE(SUBSTITUTE(SUBSTITUTE(SUBSTITUTE(SUBSTITUTE($W60,"ì","i"),"í","i"),"î","i"),"ï","i"),"ñ","n"),"ò","o"),"ó","o"),"ô","o"),"ö","o"),"õ","o"),"ù","u"),"ú","u"),"û","u"),"ü","u"),"ý","y"),"ÿ","y"),"")</f>
        <v/>
      </c>
      <c r="Y60" s="209" t="str">
        <f>IF(60=60,SUBSTITUTE(SUBSTITUTE(SUBSTITUTE(SUBSTITUTE(SUBSTITUTE(SUBSTITUTE(SUBSTITUTE(SUBSTITUTE(SUBSTITUTE(SUBSTITUTE(SUBSTITUTE(SUBSTITUTE(SUBSTITUTE(SUBSTITUTE($X60,"’"," "),"`"," "),"–"," "),"—"," "),"-"," "),"'"," "),"/"," "),"_"," "),","," "),"."," "),"("," "),")"," "),";"," "),":"," "),"")</f>
        <v/>
      </c>
      <c r="Z60" s="209" t="str">
        <f>IF(60=60,SUBSTITUTE(SUBSTITUTE(SUBSTITUTE(SUBSTITUTE(SUBSTITUTE(SUBSTITUTE(SUBSTITUTE(SUBSTITUTE(SUBSTITUTE(SUBSTITUTE(SUBSTITUTE(SUBSTITUTE(SUBSTITUTE(SUBSTITUTE(SUBSTITUTE($Y60,"!"," "),"?"," "),"+"," "),"*"," "),"&amp;"," "),"["," "),"]"," "),"{"," "),"}"," "),"%"," "),"="," "),"\"," "),"|"," "),"&lt;"," "),"&gt;"," "),"")</f>
        <v/>
      </c>
      <c r="AA60" s="209" t="str">
        <f>IF(60=60," "&amp;TRIM(SUBSTITUTE(SUBSTITUTE(SUBSTITUTE(SUBSTITUTE(SUBSTITUTE(SUBSTITUTE($Z60,CHAR(34)," "),"  "," "),"  "," "),"  "," "),"  "," "),"  "," "))&amp;" ","")</f>
        <v xml:space="preserve">  </v>
      </c>
      <c r="AB60" s="209" t="str">
        <f>IF(60=60,IF($U60="","",SUMPRODUCT(--ISNUMBER(SEARCH(" "&amp;$CR$2:$CR$101&amp;" ",$AD60)))),"")</f>
        <v/>
      </c>
      <c r="AC60" s="209" t="str">
        <f>IF(60=60,IF($U60="","",SUMPRODUCT(--ISNUMBER(SEARCH(" "&amp;$CR$102:$CR$151&amp;" ",$AD60)))),"")</f>
        <v/>
      </c>
      <c r="AD60" s="209" t="str">
        <f t="shared" si="1"/>
        <v/>
      </c>
      <c r="AE60" s="209" t="str">
        <f t="shared" si="2"/>
        <v/>
      </c>
      <c r="AF60" s="209" t="str">
        <f>IF(60=60,IF($U60="","",IF(SUM(AB60:AC60)+SUMPRODUCT(--ISNUMBER(SEARCH(" "&amp;$CR$2418:$CR$2420&amp;" ",$AD60)))&gt;0,"X",IF(AE60&gt;0,"?",""))),"")</f>
        <v/>
      </c>
      <c r="AG60" s="209" t="str">
        <f>IF(60=60,IF($U60="","",SUMPRODUCT(--ISNUMBER(SEARCH(" "&amp;$CR$206:$CR$305&amp;" ",$AA60)))),"")</f>
        <v/>
      </c>
      <c r="AH60" s="209" t="str">
        <f>IF(60=60,IF($U60="","",SUMPRODUCT(--ISNUMBER(SEARCH(" "&amp;$CR$306:$CR$340&amp;" ",$AA60)))),"")</f>
        <v/>
      </c>
      <c r="AI60" s="209" t="str">
        <f>IF(60=60,IF($U60="","",IF((SUM(AG60:AH60))-(0)&gt;0,"X",IF((0)-(0)&gt;0,"?",""))),"")</f>
        <v/>
      </c>
      <c r="AJ60" s="209" t="str">
        <f>IF(60=60,IF($U60="","",SUMPRODUCT(--ISNUMBER(SEARCH(" "&amp;$CR$341:$CR$398&amp;" ",$AA60)))),"")</f>
        <v/>
      </c>
      <c r="AK60" s="209" t="str">
        <f>IF(60=60,IF($U60="","",SUMPRODUCT(--ISNUMBER(SEARCH(" "&amp;$CR$399:$CR$426&amp;" ",$AL60)))+SUMPRODUCT(--ISNUMBER(SEARCH(" "&amp;$CR$2440:$CR$2453&amp;" ",$AL60)))),"")</f>
        <v/>
      </c>
      <c r="AL60" s="209" t="str">
        <f>IF(60=60,IF($U60="","",SUBSTITUTE(SUBSTITUTE(SUBSTITUTE(SUBSTITUTE(SUBSTITUTE(SUBSTITUTE(SUBSTITUTE(SUBSTITUTE(SUBSTITUTE(SUBSTITUTE(SUBSTITUTE(SUBSTITUTE(SUBSTITUTE(SUBSTITUTE($AA60,"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/>
      </c>
      <c r="AM60" s="209" t="str">
        <f>IF(60=60,IF($U60="","",IF(AJ60&gt;0,"X",IF(AK60&gt;0,"?",""))),"")</f>
        <v/>
      </c>
      <c r="AN60" s="209" t="str">
        <f>IF(60=60,IF($U60="","",SUMPRODUCT(--ISNUMBER(SEARCH(" "&amp;$CR$436:$CR$535&amp;" ",$AX60)))),"")</f>
        <v/>
      </c>
      <c r="AO60" s="209" t="str">
        <f>IF(60=60,IF($U60="","",SUMPRODUCT(--ISNUMBER(SEARCH(" "&amp;$CR$536:$CR$635&amp;" ",$AX60)))),"")</f>
        <v/>
      </c>
      <c r="AP60" s="209" t="str">
        <f>IF(60=60,IF($U60="","",SUMPRODUCT(--ISNUMBER(SEARCH(" "&amp;$CR$636:$CR$735&amp;" ",$AX60)))),"")</f>
        <v/>
      </c>
      <c r="AQ60" s="209" t="str">
        <f>IF(60=60,IF($U60="","",SUMPRODUCT(--ISNUMBER(SEARCH(" "&amp;$CR$736:$CR$835&amp;" ",$AX60)))),"")</f>
        <v/>
      </c>
      <c r="AR60" s="209" t="str">
        <f>IF(60=60,IF($U60="","",SUMPRODUCT(--ISNUMBER(SEARCH(" "&amp;$CR$836:$CR$935&amp;" ",$AX60)))),"")</f>
        <v/>
      </c>
      <c r="AS60" s="209" t="str">
        <f>IF(60=60,IF($U60="","",SUMPRODUCT(--ISNUMBER(SEARCH(" "&amp;$CR$936:$CR$1035&amp;" ",$AX60)))),"")</f>
        <v/>
      </c>
      <c r="AT60" s="209" t="str">
        <f>IF(60=60,IF($U60="","",SUMPRODUCT(--ISNUMBER(SEARCH(" "&amp;$CR$1036:$CR$1135&amp;" ",$AX60)))),"")</f>
        <v/>
      </c>
      <c r="AU60" s="209" t="str">
        <f>IF(60=60,IF($U60="","",SUMPRODUCT(--ISNUMBER(SEARCH(" "&amp;$CR$1136:$CR$1235&amp;" ",$AX60)))),"")</f>
        <v/>
      </c>
      <c r="AV60" s="209" t="str">
        <f>IF(60=60,IF($U60="","",SUMPRODUCT(--ISNUMBER(SEARCH(" "&amp;$CR$1236:$CR$1335&amp;" ",$AX60)))),"")</f>
        <v/>
      </c>
      <c r="AW60" s="209" t="str">
        <f>IF(60=60,IF($U60="","",SUMPRODUCT(--ISNUMBER(SEARCH(" "&amp;$CR$1336:$CR$1363&amp;" ",$AX60)))),"")</f>
        <v/>
      </c>
      <c r="AX60" s="209" t="str">
        <f>IF(60=60,IF($U60="","",SUBSTITUTE(SUBSTITUTE(SUBSTITUTE(SUBSTITUTE(SUBSTITUTE(SUBSTITUTE(SUBSTITUTE(SUBSTITUTE(SUBSTITUTE($AA60,"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/>
      </c>
      <c r="AY60" s="209" t="str">
        <f>IF(60=60,IF($U60="","",SUMPRODUCT(--ISNUMBER(SEARCH(" "&amp;$CR$1373:$CR$1383&amp;" ",$AX60)))),"")</f>
        <v/>
      </c>
      <c r="AZ60" s="209" t="str">
        <f>IF(60=60,IF($U60="","",IF(SUM(AN60:AW60)+SUMPRODUCT(--ISNUMBER(SEARCH(" "&amp;$CR$2421:$CR$2422&amp;" ",$AX60)))&gt;0,"X",IF(AY60&gt;0,"?",""))),"")</f>
        <v/>
      </c>
      <c r="BA60" s="209" t="str">
        <f>IF(60=60,IF($U60="","",SUMPRODUCT(--ISNUMBER(SEARCH(" "&amp;$CR$1384:$CR$1404&amp;" ",$AA60)))),"")</f>
        <v/>
      </c>
      <c r="BB60" s="209" t="str">
        <f>IF(60=60,IF($U60="","",IF((BA60)-(0)&gt;0,"X",IF((0)-(0)&gt;0,"?",""))),"")</f>
        <v/>
      </c>
      <c r="BC60" s="209" t="str">
        <f>IF(60=60,IF($U60="","",SUMPRODUCT(--ISNUMBER(SEARCH(" "&amp;$CR$1405:$CR$1442&amp;" ",$BD60)))),"")</f>
        <v/>
      </c>
      <c r="BD60" s="209" t="str">
        <f>IF(60=60,IF($U60="","",SUBSTITUTE(SUBSTITUTE($AA60," "&amp;$CR$1443&amp;" "," ")," "&amp;$CR$1444&amp;" "," ")),"")</f>
        <v/>
      </c>
      <c r="BE60" s="209" t="str">
        <f>IF(60=60,IF($U60="","",SUMPRODUCT(--ISNUMBER(SEARCH(" "&amp;$CR$1445:$CR$1455&amp;" ",$BD60)))),"")</f>
        <v/>
      </c>
      <c r="BF60" s="209" t="str">
        <f>IF(60=60,IF($U60="","",IF(BC60&gt;0,"X",IF(BE60&gt;0,"?",""))),"")</f>
        <v/>
      </c>
      <c r="BG60" s="209" t="str">
        <f>IF(60=60,IF($U60="","",SUMPRODUCT(--ISNUMBER(SEARCH(" "&amp;$CR$1456:$CR$1555&amp;" ",$BJ60)))),"")</f>
        <v/>
      </c>
      <c r="BH60" s="209" t="str">
        <f>IF(60=60,IF($U60="","",SUMPRODUCT(--ISNUMBER(SEARCH(" "&amp;$CR$1556:$CR$1655&amp;" ",$BJ60)))),"")</f>
        <v/>
      </c>
      <c r="BI60" s="209" t="str">
        <f>IF(60=60,IF($U60="","",SUMPRODUCT(--ISNUMBER(SEARCH(" "&amp;$CR$1656:$CR$1739&amp;" ",$BJ60)))),"")</f>
        <v/>
      </c>
      <c r="BJ60" s="209" t="str">
        <f>IF(60=60,IF($U60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60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/>
      </c>
      <c r="BK60" s="209" t="str">
        <f>IF(60=60,IF($U60="","",SUMPRODUCT(--ISNUMBER(SEARCH(" "&amp;$CR$1790:$CR$1869&amp;" ",$BL60)))+SUMPRODUCT(--ISNUMBER(SEARCH(" "&amp;$CR$2440:$CR$2453&amp;" ",$BL60)))),"")</f>
        <v/>
      </c>
      <c r="BL60" s="209" t="str">
        <f>IF(60=60,IF($U60="","",SUBSTITUTE(SUBSTITUTE(SUBSTITUTE(SUBSTITUTE(SUBSTITUTE(SUBSTITUTE(SUBSTITUTE(SUBSTITUTE(SUBSTITUTE(SUBSTITUTE(SUBSTITUTE(SUBSTITUTE(SUBSTITUTE($BJ60,"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/>
      </c>
      <c r="BM60" s="209" t="str">
        <f>IF(60=60,IF($U60="","",IF(SUM(BG60:BI60)+SUMPRODUCT(--ISNUMBER(SEARCH(" "&amp;$CR$2423:$CR$2424&amp;" ",$BJ60)))&gt;0,"X",IF(BK60&gt;0,"?",""))),"")</f>
        <v/>
      </c>
      <c r="BN60" s="209" t="str">
        <f>IF(60=60,IF($U60="","",SUMPRODUCT(--ISNUMBER(SEARCH(" "&amp;$CR$1879:$CR$1936&amp;" ",$BO60)))),"")</f>
        <v/>
      </c>
      <c r="BO60" s="209" t="str">
        <f>IF(60=60,IF($U60="","",SUBSTITUTE(SUBSTITUTE(SUBSTITUTE(SUBSTITUTE(SUBSTITUTE(SUBSTITUTE(SUBSTITUTE(SUBSTITUTE(SUBSTITUTE(SUBSTITUTE(SUBSTITUTE(SUBSTITUTE(SUBSTITUTE(SUBSTITUTE(SUBSTITUTE(SUBSTITUTE(SUBSTITUTE(SUBSTITUTE(SUBSTITUTE(SUBSTITUTE(SUBSTITUTE(SUBSTITUTE(SUBSTITUTE($AA60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/>
      </c>
      <c r="BP60" s="209" t="str">
        <f>IF(60=60,IF($U60="","",SUMPRODUCT(--ISNUMBER(SEARCH(" "&amp;$CR$1960:$CR$1976&amp;" ",$BO60)))),"")</f>
        <v/>
      </c>
      <c r="BQ60" s="209" t="str">
        <f>IF(60=60,IF($U60="","",IF(BN60&gt;0,"X",IF(BP60&gt;0,"?",""))),"")</f>
        <v/>
      </c>
      <c r="BR60" s="209" t="str">
        <f>IF(60=60,IF($U60="","",SUMPRODUCT(--ISNUMBER(SEARCH(" "&amp;$CR$1977:$CR$1990&amp;" ",$AA60)))),"")</f>
        <v/>
      </c>
      <c r="BS60" s="209" t="str">
        <f>IF(60=60,IF($U60="","",SUMPRODUCT(--ISNUMBER(SEARCH(" "&amp;$CR$1991:$CR$2005&amp;" ",$AA60)))),"")</f>
        <v/>
      </c>
      <c r="BT60" s="209" t="str">
        <f>IF(60=60,IF($U60="","",IF((BR60)-(0)&gt;0,"X",IF((BS60)-(0)&gt;0,"?",""))),"")</f>
        <v/>
      </c>
      <c r="BU60" s="209" t="str">
        <f>IF(60=60,IF($U60="","",SUMPRODUCT(--ISNUMBER(SEARCH(" "&amp;$CR$2006:$CR$2023&amp;" ",$AA60)))),"")</f>
        <v/>
      </c>
      <c r="BV60" s="209" t="str">
        <f>IF(60=60,IF($U60="","",SUMPRODUCT(--ISNUMBER(SEARCH(" "&amp;$CR$2024:$CR$2038&amp;" ",$AA60)))),"")</f>
        <v/>
      </c>
      <c r="BW60" s="209" t="str">
        <f>IF(60=60,IF($U60="","",IF((BU60)-(0)&gt;0,"X",IF((BV60)-(0)&gt;0,"?",""))),"")</f>
        <v/>
      </c>
      <c r="BX60" s="209" t="str">
        <f>IF(60=60,IF($U60="","",SUMPRODUCT(--ISNUMBER(SEARCH(" "&amp;$CR$2039:$CR$2057&amp;" ",$AA60)))),"")</f>
        <v/>
      </c>
      <c r="BY60" s="209" t="str">
        <f>IF(60=60,IF($U60="","",SUMPRODUCT(--ISNUMBER(SEARCH(" "&amp;$CR$2058:$CR$2072&amp;" ",$AA60)))),"")</f>
        <v/>
      </c>
      <c r="BZ60" s="209" t="str">
        <f>IF(60=60,IF($U60="","",IF((BX60)-(0)&gt;0,"X",IF((BY60)-(0)&gt;0,"?",""))),"")</f>
        <v/>
      </c>
      <c r="CA60" s="209" t="str">
        <f>IF(60=60,IF($U60="","",SUMPRODUCT(--ISNUMBER(SEARCH(" "&amp;$CR$2073:$CR$2093&amp;" ",$AA60)))),"")</f>
        <v/>
      </c>
      <c r="CB60" s="209" t="str">
        <f>IF(60=60,IF($U60="","",SUMPRODUCT(--ISNUMBER(SEARCH(" "&amp;$CR$2094:$CR$2133&amp;" ",SUBSTITUTE(SUBSTITUTE($AA60," "&amp;$CR$1367&amp;" "," ")," "&amp;$CR$1366&amp;" "," "))))+--ISNUMBER(SEARCH("poiré",$V60))),"")</f>
        <v/>
      </c>
      <c r="CC60" s="209" t="str">
        <f>IF(60=60,IF($U60="","",IF(OR(CA60&gt;0,ISNUMBER(SEARCH(" vinaigre de vin ",$AA60)),ISNUMBER(SEARCH(" vinaigre au vin ",$AA60))),"X",IF(CB60&gt;0,"?",""))),"")</f>
        <v/>
      </c>
      <c r="CD60" s="209" t="str">
        <f>IF(60=60,IF($U60="","",SUMPRODUCT(--ISNUMBER(SEARCH(" "&amp;$CR$2134:$CR$2146&amp;" ",$AA60)))),"")</f>
        <v/>
      </c>
      <c r="CE60" s="209" t="str">
        <f>IF(60=60,IF($U60="","",SUMPRODUCT(--ISNUMBER(SEARCH(" "&amp;$CR$2147:$CR$2152&amp;" ",$AA60)))),"")</f>
        <v/>
      </c>
      <c r="CF60" s="209" t="str">
        <f>IF(60=60,IF($U60="","",IF((CD60)-(0)&gt;0,"X",IF((CE60)-(0)&gt;0,"?",""))),"")</f>
        <v/>
      </c>
      <c r="CG60" s="209" t="str">
        <f>IF(60=60,IF($U60="","",SUMPRODUCT(--ISNUMBER(SEARCH(" "&amp;$CR$2153:$CR$2252&amp;" ",$CJ60)))),"")</f>
        <v/>
      </c>
      <c r="CH60" s="209" t="str">
        <f>IF(60=60,IF($U60="","",SUMPRODUCT(--ISNUMBER(SEARCH(" "&amp;$CR$2253:$CR$2352&amp;" ",$CJ60)))),"")</f>
        <v/>
      </c>
      <c r="CI60" s="209" t="str">
        <f>IF(60=60,IF($U60="","",SUMPRODUCT(--ISNUMBER(SEARCH(" "&amp;$CR$2353:$CR$2395&amp;" ",$CJ60)))),"")</f>
        <v/>
      </c>
      <c r="CJ60" s="209" t="str">
        <f>IF(60=60,IF($U60="","",SUBSTITUTE(SUBSTITUTE(SUBSTITUTE(SUBSTITUTE(SUBSTITUTE(SUBSTITUTE(SUBSTITUTE(SUBSTITUTE(SUBSTITUTE(SUBSTITUTE(SUBSTITUTE(SUBSTITUTE(SUBSTITUTE(SUBSTITUTE(SUBSTITUTE(SUBSTITUTE($AA60,"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/>
      </c>
      <c r="CK60" s="209" t="str">
        <f>IF(60=60,IF($U60="","",SUMPRODUCT(--ISNUMBER(SEARCH(" "&amp;$CR$2412:$CR$2416&amp;" ",$CJ60)))),"")</f>
        <v/>
      </c>
      <c r="CL60" s="209" t="str">
        <f>IF(60=60,IF($U60="","",IF(SUM(CG60:CI60)&gt;0,"X",IF(CK60&gt;0,"?",""))),"")</f>
        <v/>
      </c>
      <c r="CM60" s="210"/>
      <c r="CN60" s="213" t="s">
        <v>1102</v>
      </c>
      <c r="CO60" s="213" t="s">
        <v>878</v>
      </c>
      <c r="CP60" s="213" t="s">
        <v>879</v>
      </c>
      <c r="CQ60" s="213" t="s">
        <v>1103</v>
      </c>
      <c r="CR60" s="213" t="s">
        <v>1103</v>
      </c>
      <c r="CS60" s="213" t="s">
        <v>881</v>
      </c>
      <c r="CT60" s="213" t="s">
        <v>882</v>
      </c>
      <c r="CU60" s="213" t="s">
        <v>883</v>
      </c>
      <c r="CV60" s="214" t="s">
        <v>884</v>
      </c>
      <c r="CX60" s="212">
        <v>1</v>
      </c>
    </row>
    <row r="61" spans="1:102" ht="21" customHeight="1">
      <c r="A61" s="229">
        <v>55</v>
      </c>
      <c r="B61" s="230"/>
      <c r="C61" s="231" t="str">
        <f t="shared" si="0"/>
        <v/>
      </c>
      <c r="D61" s="232" t="str">
        <f>IF(61=61,IF($B61="","",IF(E61="X",""&amp;"Céréales contenant du gluten","")&amp;IF(F61="X",IF(COUNTIF($E61:$E61,"X")&gt;0,", ","")&amp;"Crustacés","")&amp;IF(G61="X",IF(COUNTIF($E61:$F61,"X")&gt;0,", ","")&amp;"Œufs","")&amp;IF(H61="X",IF(COUNTIF($E61:$G61,"X")&gt;0,", ","")&amp;"Poissons","")&amp;IF(I61="X",IF(COUNTIF($E61:$H61,"X")&gt;0,", ","")&amp;"Arachides","")&amp;IF(J61="X",IF(COUNTIF($E61:$I61,"X")&gt;0,", ","")&amp;"Soja","")&amp;IF(K61="X",IF(COUNTIF($E61:$J61,"X")&gt;0,", ","")&amp;"Lait","")&amp;IF(L61="X",IF(COUNTIF($E61:$K61,"X")&gt;0,", ","")&amp;"Fruits à coque","")&amp;IF(M61="X",IF(COUNTIF($E61:$L61,"X")&gt;0,", ","")&amp;"Céleri","")&amp;IF(N61="X",IF(COUNTIF($E61:$M61,"X")&gt;0,", ","")&amp;"Moutarde","")&amp;IF(O61="X",IF(COUNTIF($E61:$N61,"X")&gt;0,", ","")&amp;"Sésame","")&amp;IF(P61="X",IF(COUNTIF($E61:$O61,"X")&gt;0,", ","")&amp;"Sulfites","")&amp;IF(Q61="X",IF(COUNTIF($E61:$P61,"X")&gt;0,", ","")&amp;"Lupin","")&amp;IF(R61="X",IF(COUNTIF($E61:$Q61,"X")&gt;0,", ","")&amp;"Mollusques","")),"")</f>
        <v/>
      </c>
      <c r="E61" s="233" t="str">
        <f>IF(61=61,IF($B61="","",IF(OR(ISNUMBER(SEARCH(" biere sans gluten ",$AA61)),ISNUMBER(SEARCH(" gluten free beer ",$AA61)),ISNUMBER(SEARCH(" beer gluten free ",$AA61))),"",IF(AF61="X","X",IF(OR(AF61="?",OR(ISNUMBER(SEARCH(" worcestershire ",$AA61)),ISNUMBER(SEARCH(" bloody mary ",$AA61)))),"?","")))),"")</f>
        <v/>
      </c>
      <c r="F61" s="233" t="str">
        <f>IF(61=61,IF($B61="","",AI61),"")</f>
        <v/>
      </c>
      <c r="G61" s="233" t="str">
        <f>IF(61=61,IF($B61="","",IF(OR(TRIM($AA61)="puree pate d amande",TRIM($AA61)="pate puree d amande",TRIM($AA61)="puree d amande",TRIM($AA61)="pate d amande",TRIM($AA61)="pate puree de noisette",TRIM($AA61)="puree pate de noisette",TRIM($AA61)="puree de noisette",TRIM($AA61)="pate de noisette"),"",IF(OR(AM61="X",OR(ISNUMBER(SEARCH(" macaron ",$AA61)),ISNUMBER(SEARCH(" egg nog ",$AA61)),ISNUMBER(SEARCH(" eggnog ",$AA61)))),"X",IF(OR(AM61="?",OR(ISNUMBER(SEARCH(" biscuit decoratif ",$AA61)),ISNUMBER(SEARCH(" whisky sour ",$AA61)),ISNUMBER(SEARCH(" whiskey sour ",$AA61)),ISNUMBER(SEARCH(" amaretto sour ",$AA61)),ISNUMBER(SEARCH(" pisco sour ",$AA61)),ISNUMBER(SEARCH(" clover club ",$AA61)),ISNUMBER(SEARCH(" ramos gin fizz ",$AA61)))),"?","")))),"")</f>
        <v/>
      </c>
      <c r="H61" s="233" t="str">
        <f>IF(61=61,IF($B61="","",IF(ISNUMBER(SEARCH(" colin ",$AA61)),"X",IF(AZ61="X","X",IF(OR(AZ61="?",OR(ISNUMBER(SEARCH(" worcestershire ",$AA61)),ISNUMBER(SEARCH(" bloody mary ",$AA61)))),"?","")))),"")</f>
        <v/>
      </c>
      <c r="I61" s="233" t="str">
        <f>IF(61=61,IF($B61="","",BB61),"")</f>
        <v/>
      </c>
      <c r="J61" s="233" t="str">
        <f>IF(61=61,IF($B61="","",BF61),"")</f>
        <v/>
      </c>
      <c r="K61" s="233" t="str">
        <f>IF(61=61,IF($B61="","",IF(OR(OR(TRIM($AA61)="puree pate d amande",TRIM($AA61)="pate puree d amande",TRIM($AA61)="puree d amande",TRIM($AA61)="pate d amande",TRIM($AA61)="pate puree de noisette",TRIM($AA61)="puree pate de noisette",TRIM($AA61)="puree de noisette",TRIM($AA61)="pate de noisette"),OR(TRIM($AA61)="beurre puree d arachide",TRIM($AA61)="beurre d arachide",TRIM($AA61)="puree d arachide"),OR(TRIM($AA61)="tahini puree de sesame",TRIM($AA61)="tahini",TRIM($AA61)="puree de sesame")),"",IF(OR(TRIM($AA61)="creme de cassis",TRIM($AA61)="creme de menthe",TRIM($AA61)="creme de cacao",TRIM($AA61)="creme de mure",TRIM($AA61)="creme de framboise",TRIM($AA61)="creme de peche",TRIM($AA61)="creme de banane",TRIM($AA61)="liqueur creme de coco",TRIM($AA61)="creme de coco",TRIM($AA61)="spiritueux aromatise arrange creme de spiritueux"),"?",IF(OR(BM61="X",OR(ISNUMBER(SEARCH(" baileys ",$AA61)),ISNUMBER(SEARCH(" irish cream ",$AA61)),ISNUMBER(SEARCH(" creme de whisky ",$AA61)))),"X",IF(OR(BM61="?",OR(OR(TRIM($AA61)="creme de cassis",TRIM($AA61)="creme de menthe",TRIM($AA61)="creme de cacao",TRIM($AA61)="creme de mure",TRIM($AA61)="creme de framboise",TRIM($AA61)="creme de peche",TRIM($AA61)="creme de banane",TRIM($AA61)="liqueur creme de coco",TRIM($AA61)="creme de coco",TRIM($AA61)="spiritueux aromatise arrange creme de spiritueux"),ISNUMBER(SEARCH(" advocaat ",$AA61)),ISNUMBER(SEARCH(" liqueur aux oeufs ",$AA61)),ISNUMBER(SEARCH(" liqueur de chocolat ",$AA61)),ISNUMBER(SEARCH(" liqueur de caramel ",$AA61)),ISNUMBER(SEARCH(" sauce nappage chocolat ",$AA61)),ISNUMBER(SEARCH(" biscuit decoratif ",$AA61)),ISNUMBER(SEARCH(" white russian ",$AA61)),ISNUMBER(SEARCH(" grasshopper ",$AA61)),ISNUMBER(SEARCH(" irish coffee ",$AA61)),ISNUMBER(SEARCH(" ramos gin fizz ",$AA61)),ISNUMBER(SEARCH(" egg nog ",$AA61)),ISNUMBER(SEARCH(" eggnog ",$AA61)))),"?",""))))),"")</f>
        <v/>
      </c>
      <c r="L61" s="233" t="str">
        <f>IF(61=61,IF($B61="","",IF(OR(BQ61="X",OR(OR(TRIM($AA61)="puree pate d amande",TRIM($AA61)="pate puree d amande",TRIM($AA61)="puree d amande",TRIM($AA61)="pate d amande",TRIM($AA61)="pate puree de noisette",TRIM($AA61)="puree pate de noisette",TRIM($AA61)="puree de noisette",TRIM($AA61)="pate de noisette"),ISNUMBER(SEARCH(" macaron ",$AA61)),TRIM($AA61)="fruits a coque")),"X",IF(OR(BQ61="?",OR(ISNUMBER(SEARCH(" sirop d orgeat ",$AA61)),ISNUMBER(SEARCH(" orgeat ",$AA61)),ISNUMBER(SEARCH(" amaretto ",$AA61)))),"?",""))),"")</f>
        <v/>
      </c>
      <c r="M61" s="233" t="str">
        <f>IF(61=61,IF($B61="","",IF(OR(OR(TRIM($AA61)="puree pate d amande",TRIM($AA61)="pate puree d amande",TRIM($AA61)="puree d amande",TRIM($AA61)="pate d amande",TRIM($AA61)="pate puree de noisette",TRIM($AA61)="puree pate de noisette",TRIM($AA61)="puree de noisette",TRIM($AA61)="pate de noisette"),OR(TRIM($AA61)="tahini puree de sesame",TRIM($AA61)="tahini",TRIM($AA61)="puree de sesame")),"",IF(BT61="X","X",IF(OR(BT61="?",ISNUMBER(SEARCH(" bloody mary ",$AA61))),"?","")))),"")</f>
        <v/>
      </c>
      <c r="N61" s="233" t="str">
        <f>IF(61=61,IF($B61="","",IF(OR(OR(TRIM($AA61)="puree pate d amande",TRIM($AA61)="pate puree d amande",TRIM($AA61)="puree d amande",TRIM($AA61)="pate d amande",TRIM($AA61)="pate puree de noisette",TRIM($AA61)="puree pate de noisette",TRIM($AA61)="puree de noisette",TRIM($AA61)="pate de noisette"),OR(TRIM($AA61)="tahini puree de sesame",TRIM($AA61)="tahini",TRIM($AA61)="puree de sesame")),"",IF(BW61="X","X",IF(OR(BW61="?",ISNUMBER(SEARCH(" bloody mary ",$AA61))),"?","")))),"")</f>
        <v/>
      </c>
      <c r="O61" s="233" t="str">
        <f>IF(61=61,IF($B61="","",BZ61),"")</f>
        <v/>
      </c>
      <c r="P61" s="233" t="str">
        <f>IF(61=61,IF($B61="","",CC61),"")</f>
        <v/>
      </c>
      <c r="Q61" s="233" t="str">
        <f>IF(61=61,IF($B61="","",CF61),"")</f>
        <v/>
      </c>
      <c r="R61" s="233" t="str">
        <f>IF(61=61,IF($B61="","",IF(TRIM($AA61)="fruits a coque","",IF(CL61="X","X",IF(OR(CL61="?",OR(ISNUMBER(SEARCH(" clamato ",$AA61)),ISNUMBER(SEARCH(" bloody caesar ",$AA61)))),"?","")))),"")</f>
        <v/>
      </c>
      <c r="S61" s="234" t="str">
        <f>IF(61=61,IF($B61="","",IF(E61="?",""&amp;"Céréales contenant du gluten","")&amp;IF(F61="?",IF(COUNTIF($E61:$E61,"~?")&gt;0,", ","")&amp;"Crustacés","")&amp;IF(G61="?",IF(COUNTIF($E61:$F61,"~?")&gt;0,", ","")&amp;"Œufs","")&amp;IF(H61="?",IF(COUNTIF($E61:$G61,"~?")&gt;0,", ","")&amp;"Poissons","")&amp;IF(I61="?",IF(COUNTIF($E61:$H61,"~?")&gt;0,", ","")&amp;"Arachides","")&amp;IF(J61="?",IF(COUNTIF($E61:$I61,"~?")&gt;0,", ","")&amp;"Soja","")&amp;IF(K61="?",IF(COUNTIF($E61:$J61,"~?")&gt;0,", ","")&amp;"Lait","")&amp;IF(L61="?",IF(COUNTIF($E61:$K61,"~?")&gt;0,", ","")&amp;"Fruits à coque","")&amp;IF(M61="?",IF(COUNTIF($E61:$L61,"~?")&gt;0,", ","")&amp;"Céleri","")&amp;IF(N61="?",IF(COUNTIF($E61:$M61,"~?")&gt;0,", ","")&amp;"Moutarde","")&amp;IF(O61="?",IF(COUNTIF($E61:$N61,"~?")&gt;0,", ","")&amp;"Sésame","")&amp;IF(P61="?",IF(COUNTIF($E61:$O61,"~?")&gt;0,", ","")&amp;"Sulfites","")&amp;IF(Q61="?",IF(COUNTIF($E61:$P61,"~?")&gt;0,", ","")&amp;"Lupin","")&amp;IF(R61="?",IF(COUNTIF($E61:$Q61,"~?")&gt;0,", ","")&amp;"Mollusques","")),"")</f>
        <v/>
      </c>
      <c r="U61" s="209" t="str">
        <f>IF(61=61,IF($B61="","",$B61),"")</f>
        <v/>
      </c>
      <c r="V61" s="209" t="str">
        <f>IF(61=61,LOWER(CLEAN(SUBSTITUTE(SUBSTITUTE(SUBSTITUTE(SUBSTITUTE($U61,CHAR(160)," ")," "," "),CHAR(10)," "),CHAR(13)," "))),"")</f>
        <v/>
      </c>
      <c r="W61" s="209" t="str">
        <f>IF(61=61,SUBSTITUTE(SUBSTITUTE(SUBSTITUTE(SUBSTITUTE(SUBSTITUTE(SUBSTITUTE(SUBSTITUTE(SUBSTITUTE(SUBSTITUTE(SUBSTITUTE(SUBSTITUTE(SUBSTITUTE($V61,"œ","oe"),"æ","ae"),"à","a"),"á","a"),"â","a"),"ä","a"),"ã","a"),"ç","c"),"è","e"),"é","e"),"ê","e"),"ë","e"),"")</f>
        <v/>
      </c>
      <c r="X61" s="209" t="str">
        <f>IF(61=61,SUBSTITUTE(SUBSTITUTE(SUBSTITUTE(SUBSTITUTE(SUBSTITUTE(SUBSTITUTE(SUBSTITUTE(SUBSTITUTE(SUBSTITUTE(SUBSTITUTE(SUBSTITUTE(SUBSTITUTE(SUBSTITUTE(SUBSTITUTE(SUBSTITUTE(SUBSTITUTE($W61,"ì","i"),"í","i"),"î","i"),"ï","i"),"ñ","n"),"ò","o"),"ó","o"),"ô","o"),"ö","o"),"õ","o"),"ù","u"),"ú","u"),"û","u"),"ü","u"),"ý","y"),"ÿ","y"),"")</f>
        <v/>
      </c>
      <c r="Y61" s="209" t="str">
        <f>IF(61=61,SUBSTITUTE(SUBSTITUTE(SUBSTITUTE(SUBSTITUTE(SUBSTITUTE(SUBSTITUTE(SUBSTITUTE(SUBSTITUTE(SUBSTITUTE(SUBSTITUTE(SUBSTITUTE(SUBSTITUTE(SUBSTITUTE(SUBSTITUTE($X61,"’"," "),"`"," "),"–"," "),"—"," "),"-"," "),"'"," "),"/"," "),"_"," "),","," "),"."," "),"("," "),")"," "),";"," "),":"," "),"")</f>
        <v/>
      </c>
      <c r="Z61" s="209" t="str">
        <f>IF(61=61,SUBSTITUTE(SUBSTITUTE(SUBSTITUTE(SUBSTITUTE(SUBSTITUTE(SUBSTITUTE(SUBSTITUTE(SUBSTITUTE(SUBSTITUTE(SUBSTITUTE(SUBSTITUTE(SUBSTITUTE(SUBSTITUTE(SUBSTITUTE(SUBSTITUTE($Y61,"!"," "),"?"," "),"+"," "),"*"," "),"&amp;"," "),"["," "),"]"," "),"{"," "),"}"," "),"%"," "),"="," "),"\"," "),"|"," "),"&lt;"," "),"&gt;"," "),"")</f>
        <v/>
      </c>
      <c r="AA61" s="209" t="str">
        <f>IF(61=61," "&amp;TRIM(SUBSTITUTE(SUBSTITUTE(SUBSTITUTE(SUBSTITUTE(SUBSTITUTE(SUBSTITUTE($Z61,CHAR(34)," "),"  "," "),"  "," "),"  "," "),"  "," "),"  "," "))&amp;" ","")</f>
        <v xml:space="preserve">  </v>
      </c>
      <c r="AB61" s="209" t="str">
        <f>IF(61=61,IF($U61="","",SUMPRODUCT(--ISNUMBER(SEARCH(" "&amp;$CR$2:$CR$101&amp;" ",$AD61)))),"")</f>
        <v/>
      </c>
      <c r="AC61" s="209" t="str">
        <f>IF(61=61,IF($U61="","",SUMPRODUCT(--ISNUMBER(SEARCH(" "&amp;$CR$102:$CR$151&amp;" ",$AD61)))),"")</f>
        <v/>
      </c>
      <c r="AD61" s="209" t="str">
        <f t="shared" si="1"/>
        <v/>
      </c>
      <c r="AE61" s="209" t="str">
        <f t="shared" si="2"/>
        <v/>
      </c>
      <c r="AF61" s="209" t="str">
        <f>IF(61=61,IF($U61="","",IF(SUM(AB61:AC61)+SUMPRODUCT(--ISNUMBER(SEARCH(" "&amp;$CR$2418:$CR$2420&amp;" ",$AD61)))&gt;0,"X",IF(AE61&gt;0,"?",""))),"")</f>
        <v/>
      </c>
      <c r="AG61" s="209" t="str">
        <f>IF(61=61,IF($U61="","",SUMPRODUCT(--ISNUMBER(SEARCH(" "&amp;$CR$206:$CR$305&amp;" ",$AA61)))),"")</f>
        <v/>
      </c>
      <c r="AH61" s="209" t="str">
        <f>IF(61=61,IF($U61="","",SUMPRODUCT(--ISNUMBER(SEARCH(" "&amp;$CR$306:$CR$340&amp;" ",$AA61)))),"")</f>
        <v/>
      </c>
      <c r="AI61" s="209" t="str">
        <f>IF(61=61,IF($U61="","",IF((SUM(AG61:AH61))-(0)&gt;0,"X",IF((0)-(0)&gt;0,"?",""))),"")</f>
        <v/>
      </c>
      <c r="AJ61" s="209" t="str">
        <f>IF(61=61,IF($U61="","",SUMPRODUCT(--ISNUMBER(SEARCH(" "&amp;$CR$341:$CR$398&amp;" ",$AA61)))),"")</f>
        <v/>
      </c>
      <c r="AK61" s="209" t="str">
        <f>IF(61=61,IF($U61="","",SUMPRODUCT(--ISNUMBER(SEARCH(" "&amp;$CR$399:$CR$426&amp;" ",$AL61)))+SUMPRODUCT(--ISNUMBER(SEARCH(" "&amp;$CR$2440:$CR$2453&amp;" ",$AL61)))),"")</f>
        <v/>
      </c>
      <c r="AL61" s="209" t="str">
        <f>IF(61=61,IF($U61="","",SUBSTITUTE(SUBSTITUTE(SUBSTITUTE(SUBSTITUTE(SUBSTITUTE(SUBSTITUTE(SUBSTITUTE(SUBSTITUTE(SUBSTITUTE(SUBSTITUTE(SUBSTITUTE(SUBSTITUTE(SUBSTITUTE(SUBSTITUTE($AA61,"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/>
      </c>
      <c r="AM61" s="209" t="str">
        <f>IF(61=61,IF($U61="","",IF(AJ61&gt;0,"X",IF(AK61&gt;0,"?",""))),"")</f>
        <v/>
      </c>
      <c r="AN61" s="209" t="str">
        <f>IF(61=61,IF($U61="","",SUMPRODUCT(--ISNUMBER(SEARCH(" "&amp;$CR$436:$CR$535&amp;" ",$AX61)))),"")</f>
        <v/>
      </c>
      <c r="AO61" s="209" t="str">
        <f>IF(61=61,IF($U61="","",SUMPRODUCT(--ISNUMBER(SEARCH(" "&amp;$CR$536:$CR$635&amp;" ",$AX61)))),"")</f>
        <v/>
      </c>
      <c r="AP61" s="209" t="str">
        <f>IF(61=61,IF($U61="","",SUMPRODUCT(--ISNUMBER(SEARCH(" "&amp;$CR$636:$CR$735&amp;" ",$AX61)))),"")</f>
        <v/>
      </c>
      <c r="AQ61" s="209" t="str">
        <f>IF(61=61,IF($U61="","",SUMPRODUCT(--ISNUMBER(SEARCH(" "&amp;$CR$736:$CR$835&amp;" ",$AX61)))),"")</f>
        <v/>
      </c>
      <c r="AR61" s="209" t="str">
        <f>IF(61=61,IF($U61="","",SUMPRODUCT(--ISNUMBER(SEARCH(" "&amp;$CR$836:$CR$935&amp;" ",$AX61)))),"")</f>
        <v/>
      </c>
      <c r="AS61" s="209" t="str">
        <f>IF(61=61,IF($U61="","",SUMPRODUCT(--ISNUMBER(SEARCH(" "&amp;$CR$936:$CR$1035&amp;" ",$AX61)))),"")</f>
        <v/>
      </c>
      <c r="AT61" s="209" t="str">
        <f>IF(61=61,IF($U61="","",SUMPRODUCT(--ISNUMBER(SEARCH(" "&amp;$CR$1036:$CR$1135&amp;" ",$AX61)))),"")</f>
        <v/>
      </c>
      <c r="AU61" s="209" t="str">
        <f>IF(61=61,IF($U61="","",SUMPRODUCT(--ISNUMBER(SEARCH(" "&amp;$CR$1136:$CR$1235&amp;" ",$AX61)))),"")</f>
        <v/>
      </c>
      <c r="AV61" s="209" t="str">
        <f>IF(61=61,IF($U61="","",SUMPRODUCT(--ISNUMBER(SEARCH(" "&amp;$CR$1236:$CR$1335&amp;" ",$AX61)))),"")</f>
        <v/>
      </c>
      <c r="AW61" s="209" t="str">
        <f>IF(61=61,IF($U61="","",SUMPRODUCT(--ISNUMBER(SEARCH(" "&amp;$CR$1336:$CR$1363&amp;" ",$AX61)))),"")</f>
        <v/>
      </c>
      <c r="AX61" s="209" t="str">
        <f>IF(61=61,IF($U61="","",SUBSTITUTE(SUBSTITUTE(SUBSTITUTE(SUBSTITUTE(SUBSTITUTE(SUBSTITUTE(SUBSTITUTE(SUBSTITUTE(SUBSTITUTE($AA61,"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/>
      </c>
      <c r="AY61" s="209" t="str">
        <f>IF(61=61,IF($U61="","",SUMPRODUCT(--ISNUMBER(SEARCH(" "&amp;$CR$1373:$CR$1383&amp;" ",$AX61)))),"")</f>
        <v/>
      </c>
      <c r="AZ61" s="209" t="str">
        <f>IF(61=61,IF($U61="","",IF(SUM(AN61:AW61)+SUMPRODUCT(--ISNUMBER(SEARCH(" "&amp;$CR$2421:$CR$2422&amp;" ",$AX61)))&gt;0,"X",IF(AY61&gt;0,"?",""))),"")</f>
        <v/>
      </c>
      <c r="BA61" s="209" t="str">
        <f>IF(61=61,IF($U61="","",SUMPRODUCT(--ISNUMBER(SEARCH(" "&amp;$CR$1384:$CR$1404&amp;" ",$AA61)))),"")</f>
        <v/>
      </c>
      <c r="BB61" s="209" t="str">
        <f>IF(61=61,IF($U61="","",IF((BA61)-(0)&gt;0,"X",IF((0)-(0)&gt;0,"?",""))),"")</f>
        <v/>
      </c>
      <c r="BC61" s="209" t="str">
        <f>IF(61=61,IF($U61="","",SUMPRODUCT(--ISNUMBER(SEARCH(" "&amp;$CR$1405:$CR$1442&amp;" ",$BD61)))),"")</f>
        <v/>
      </c>
      <c r="BD61" s="209" t="str">
        <f>IF(61=61,IF($U61="","",SUBSTITUTE(SUBSTITUTE($AA61," "&amp;$CR$1443&amp;" "," ")," "&amp;$CR$1444&amp;" "," ")),"")</f>
        <v/>
      </c>
      <c r="BE61" s="209" t="str">
        <f>IF(61=61,IF($U61="","",SUMPRODUCT(--ISNUMBER(SEARCH(" "&amp;$CR$1445:$CR$1455&amp;" ",$BD61)))),"")</f>
        <v/>
      </c>
      <c r="BF61" s="209" t="str">
        <f>IF(61=61,IF($U61="","",IF(BC61&gt;0,"X",IF(BE61&gt;0,"?",""))),"")</f>
        <v/>
      </c>
      <c r="BG61" s="209" t="str">
        <f>IF(61=61,IF($U61="","",SUMPRODUCT(--ISNUMBER(SEARCH(" "&amp;$CR$1456:$CR$1555&amp;" ",$BJ61)))),"")</f>
        <v/>
      </c>
      <c r="BH61" s="209" t="str">
        <f>IF(61=61,IF($U61="","",SUMPRODUCT(--ISNUMBER(SEARCH(" "&amp;$CR$1556:$CR$1655&amp;" ",$BJ61)))),"")</f>
        <v/>
      </c>
      <c r="BI61" s="209" t="str">
        <f>IF(61=61,IF($U61="","",SUMPRODUCT(--ISNUMBER(SEARCH(" "&amp;$CR$1656:$CR$1739&amp;" ",$BJ61)))),"")</f>
        <v/>
      </c>
      <c r="BJ61" s="209" t="str">
        <f>IF(61=61,IF($U61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61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/>
      </c>
      <c r="BK61" s="209" t="str">
        <f>IF(61=61,IF($U61="","",SUMPRODUCT(--ISNUMBER(SEARCH(" "&amp;$CR$1790:$CR$1869&amp;" ",$BL61)))+SUMPRODUCT(--ISNUMBER(SEARCH(" "&amp;$CR$2440:$CR$2453&amp;" ",$BL61)))),"")</f>
        <v/>
      </c>
      <c r="BL61" s="209" t="str">
        <f>IF(61=61,IF($U61="","",SUBSTITUTE(SUBSTITUTE(SUBSTITUTE(SUBSTITUTE(SUBSTITUTE(SUBSTITUTE(SUBSTITUTE(SUBSTITUTE(SUBSTITUTE(SUBSTITUTE(SUBSTITUTE(SUBSTITUTE(SUBSTITUTE($BJ61,"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/>
      </c>
      <c r="BM61" s="209" t="str">
        <f>IF(61=61,IF($U61="","",IF(SUM(BG61:BI61)+SUMPRODUCT(--ISNUMBER(SEARCH(" "&amp;$CR$2423:$CR$2424&amp;" ",$BJ61)))&gt;0,"X",IF(BK61&gt;0,"?",""))),"")</f>
        <v/>
      </c>
      <c r="BN61" s="209" t="str">
        <f>IF(61=61,IF($U61="","",SUMPRODUCT(--ISNUMBER(SEARCH(" "&amp;$CR$1879:$CR$1936&amp;" ",$BO61)))),"")</f>
        <v/>
      </c>
      <c r="BO61" s="209" t="str">
        <f>IF(61=61,IF($U61="","",SUBSTITUTE(SUBSTITUTE(SUBSTITUTE(SUBSTITUTE(SUBSTITUTE(SUBSTITUTE(SUBSTITUTE(SUBSTITUTE(SUBSTITUTE(SUBSTITUTE(SUBSTITUTE(SUBSTITUTE(SUBSTITUTE(SUBSTITUTE(SUBSTITUTE(SUBSTITUTE(SUBSTITUTE(SUBSTITUTE(SUBSTITUTE(SUBSTITUTE(SUBSTITUTE(SUBSTITUTE(SUBSTITUTE($AA61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/>
      </c>
      <c r="BP61" s="209" t="str">
        <f>IF(61=61,IF($U61="","",SUMPRODUCT(--ISNUMBER(SEARCH(" "&amp;$CR$1960:$CR$1976&amp;" ",$BO61)))),"")</f>
        <v/>
      </c>
      <c r="BQ61" s="209" t="str">
        <f>IF(61=61,IF($U61="","",IF(BN61&gt;0,"X",IF(BP61&gt;0,"?",""))),"")</f>
        <v/>
      </c>
      <c r="BR61" s="209" t="str">
        <f>IF(61=61,IF($U61="","",SUMPRODUCT(--ISNUMBER(SEARCH(" "&amp;$CR$1977:$CR$1990&amp;" ",$AA61)))),"")</f>
        <v/>
      </c>
      <c r="BS61" s="209" t="str">
        <f>IF(61=61,IF($U61="","",SUMPRODUCT(--ISNUMBER(SEARCH(" "&amp;$CR$1991:$CR$2005&amp;" ",$AA61)))),"")</f>
        <v/>
      </c>
      <c r="BT61" s="209" t="str">
        <f>IF(61=61,IF($U61="","",IF((BR61)-(0)&gt;0,"X",IF((BS61)-(0)&gt;0,"?",""))),"")</f>
        <v/>
      </c>
      <c r="BU61" s="209" t="str">
        <f>IF(61=61,IF($U61="","",SUMPRODUCT(--ISNUMBER(SEARCH(" "&amp;$CR$2006:$CR$2023&amp;" ",$AA61)))),"")</f>
        <v/>
      </c>
      <c r="BV61" s="209" t="str">
        <f>IF(61=61,IF($U61="","",SUMPRODUCT(--ISNUMBER(SEARCH(" "&amp;$CR$2024:$CR$2038&amp;" ",$AA61)))),"")</f>
        <v/>
      </c>
      <c r="BW61" s="209" t="str">
        <f>IF(61=61,IF($U61="","",IF((BU61)-(0)&gt;0,"X",IF((BV61)-(0)&gt;0,"?",""))),"")</f>
        <v/>
      </c>
      <c r="BX61" s="209" t="str">
        <f>IF(61=61,IF($U61="","",SUMPRODUCT(--ISNUMBER(SEARCH(" "&amp;$CR$2039:$CR$2057&amp;" ",$AA61)))),"")</f>
        <v/>
      </c>
      <c r="BY61" s="209" t="str">
        <f>IF(61=61,IF($U61="","",SUMPRODUCT(--ISNUMBER(SEARCH(" "&amp;$CR$2058:$CR$2072&amp;" ",$AA61)))),"")</f>
        <v/>
      </c>
      <c r="BZ61" s="209" t="str">
        <f>IF(61=61,IF($U61="","",IF((BX61)-(0)&gt;0,"X",IF((BY61)-(0)&gt;0,"?",""))),"")</f>
        <v/>
      </c>
      <c r="CA61" s="209" t="str">
        <f>IF(61=61,IF($U61="","",SUMPRODUCT(--ISNUMBER(SEARCH(" "&amp;$CR$2073:$CR$2093&amp;" ",$AA61)))),"")</f>
        <v/>
      </c>
      <c r="CB61" s="209" t="str">
        <f>IF(61=61,IF($U61="","",SUMPRODUCT(--ISNUMBER(SEARCH(" "&amp;$CR$2094:$CR$2133&amp;" ",SUBSTITUTE(SUBSTITUTE($AA61," "&amp;$CR$1367&amp;" "," ")," "&amp;$CR$1366&amp;" "," "))))+--ISNUMBER(SEARCH("poiré",$V61))),"")</f>
        <v/>
      </c>
      <c r="CC61" s="209" t="str">
        <f>IF(61=61,IF($U61="","",IF(OR(CA61&gt;0,ISNUMBER(SEARCH(" vinaigre de vin ",$AA61)),ISNUMBER(SEARCH(" vinaigre au vin ",$AA61))),"X",IF(CB61&gt;0,"?",""))),"")</f>
        <v/>
      </c>
      <c r="CD61" s="209" t="str">
        <f>IF(61=61,IF($U61="","",SUMPRODUCT(--ISNUMBER(SEARCH(" "&amp;$CR$2134:$CR$2146&amp;" ",$AA61)))),"")</f>
        <v/>
      </c>
      <c r="CE61" s="209" t="str">
        <f>IF(61=61,IF($U61="","",SUMPRODUCT(--ISNUMBER(SEARCH(" "&amp;$CR$2147:$CR$2152&amp;" ",$AA61)))),"")</f>
        <v/>
      </c>
      <c r="CF61" s="209" t="str">
        <f>IF(61=61,IF($U61="","",IF((CD61)-(0)&gt;0,"X",IF((CE61)-(0)&gt;0,"?",""))),"")</f>
        <v/>
      </c>
      <c r="CG61" s="209" t="str">
        <f>IF(61=61,IF($U61="","",SUMPRODUCT(--ISNUMBER(SEARCH(" "&amp;$CR$2153:$CR$2252&amp;" ",$CJ61)))),"")</f>
        <v/>
      </c>
      <c r="CH61" s="209" t="str">
        <f>IF(61=61,IF($U61="","",SUMPRODUCT(--ISNUMBER(SEARCH(" "&amp;$CR$2253:$CR$2352&amp;" ",$CJ61)))),"")</f>
        <v/>
      </c>
      <c r="CI61" s="209" t="str">
        <f>IF(61=61,IF($U61="","",SUMPRODUCT(--ISNUMBER(SEARCH(" "&amp;$CR$2353:$CR$2395&amp;" ",$CJ61)))),"")</f>
        <v/>
      </c>
      <c r="CJ61" s="209" t="str">
        <f>IF(61=61,IF($U61="","",SUBSTITUTE(SUBSTITUTE(SUBSTITUTE(SUBSTITUTE(SUBSTITUTE(SUBSTITUTE(SUBSTITUTE(SUBSTITUTE(SUBSTITUTE(SUBSTITUTE(SUBSTITUTE(SUBSTITUTE(SUBSTITUTE(SUBSTITUTE(SUBSTITUTE(SUBSTITUTE($AA61,"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/>
      </c>
      <c r="CK61" s="209" t="str">
        <f>IF(61=61,IF($U61="","",SUMPRODUCT(--ISNUMBER(SEARCH(" "&amp;$CR$2412:$CR$2416&amp;" ",$CJ61)))),"")</f>
        <v/>
      </c>
      <c r="CL61" s="209" t="str">
        <f>IF(61=61,IF($U61="","",IF(SUM(CG61:CI61)&gt;0,"X",IF(CK61&gt;0,"?",""))),"")</f>
        <v/>
      </c>
      <c r="CM61" s="210"/>
      <c r="CN61" s="213" t="s">
        <v>1104</v>
      </c>
      <c r="CO61" s="213" t="s">
        <v>878</v>
      </c>
      <c r="CP61" s="213" t="s">
        <v>879</v>
      </c>
      <c r="CQ61" s="213" t="s">
        <v>1105</v>
      </c>
      <c r="CR61" s="213" t="s">
        <v>1105</v>
      </c>
      <c r="CS61" s="213" t="s">
        <v>881</v>
      </c>
      <c r="CT61" s="213" t="s">
        <v>882</v>
      </c>
      <c r="CU61" s="213" t="s">
        <v>883</v>
      </c>
      <c r="CV61" s="214" t="s">
        <v>884</v>
      </c>
      <c r="CX61" s="212">
        <v>1</v>
      </c>
    </row>
    <row r="62" spans="1:102" ht="21" customHeight="1">
      <c r="A62" s="229">
        <v>56</v>
      </c>
      <c r="B62" s="230"/>
      <c r="C62" s="231" t="str">
        <f t="shared" si="0"/>
        <v/>
      </c>
      <c r="D62" s="232" t="str">
        <f>IF(62=62,IF($B62="","",IF(E62="X",""&amp;"Céréales contenant du gluten","")&amp;IF(F62="X",IF(COUNTIF($E62:$E62,"X")&gt;0,", ","")&amp;"Crustacés","")&amp;IF(G62="X",IF(COUNTIF($E62:$F62,"X")&gt;0,", ","")&amp;"Œufs","")&amp;IF(H62="X",IF(COUNTIF($E62:$G62,"X")&gt;0,", ","")&amp;"Poissons","")&amp;IF(I62="X",IF(COUNTIF($E62:$H62,"X")&gt;0,", ","")&amp;"Arachides","")&amp;IF(J62="X",IF(COUNTIF($E62:$I62,"X")&gt;0,", ","")&amp;"Soja","")&amp;IF(K62="X",IF(COUNTIF($E62:$J62,"X")&gt;0,", ","")&amp;"Lait","")&amp;IF(L62="X",IF(COUNTIF($E62:$K62,"X")&gt;0,", ","")&amp;"Fruits à coque","")&amp;IF(M62="X",IF(COUNTIF($E62:$L62,"X")&gt;0,", ","")&amp;"Céleri","")&amp;IF(N62="X",IF(COUNTIF($E62:$M62,"X")&gt;0,", ","")&amp;"Moutarde","")&amp;IF(O62="X",IF(COUNTIF($E62:$N62,"X")&gt;0,", ","")&amp;"Sésame","")&amp;IF(P62="X",IF(COUNTIF($E62:$O62,"X")&gt;0,", ","")&amp;"Sulfites","")&amp;IF(Q62="X",IF(COUNTIF($E62:$P62,"X")&gt;0,", ","")&amp;"Lupin","")&amp;IF(R62="X",IF(COUNTIF($E62:$Q62,"X")&gt;0,", ","")&amp;"Mollusques","")),"")</f>
        <v/>
      </c>
      <c r="E62" s="233" t="str">
        <f>IF(62=62,IF($B62="","",IF(OR(ISNUMBER(SEARCH(" biere sans gluten ",$AA62)),ISNUMBER(SEARCH(" gluten free beer ",$AA62)),ISNUMBER(SEARCH(" beer gluten free ",$AA62))),"",IF(AF62="X","X",IF(OR(AF62="?",OR(ISNUMBER(SEARCH(" worcestershire ",$AA62)),ISNUMBER(SEARCH(" bloody mary ",$AA62)))),"?","")))),"")</f>
        <v/>
      </c>
      <c r="F62" s="233" t="str">
        <f>IF(62=62,IF($B62="","",AI62),"")</f>
        <v/>
      </c>
      <c r="G62" s="233" t="str">
        <f>IF(62=62,IF($B62="","",IF(OR(TRIM($AA62)="puree pate d amande",TRIM($AA62)="pate puree d amande",TRIM($AA62)="puree d amande",TRIM($AA62)="pate d amande",TRIM($AA62)="pate puree de noisette",TRIM($AA62)="puree pate de noisette",TRIM($AA62)="puree de noisette",TRIM($AA62)="pate de noisette"),"",IF(OR(AM62="X",OR(ISNUMBER(SEARCH(" macaron ",$AA62)),ISNUMBER(SEARCH(" egg nog ",$AA62)),ISNUMBER(SEARCH(" eggnog ",$AA62)))),"X",IF(OR(AM62="?",OR(ISNUMBER(SEARCH(" biscuit decoratif ",$AA62)),ISNUMBER(SEARCH(" whisky sour ",$AA62)),ISNUMBER(SEARCH(" whiskey sour ",$AA62)),ISNUMBER(SEARCH(" amaretto sour ",$AA62)),ISNUMBER(SEARCH(" pisco sour ",$AA62)),ISNUMBER(SEARCH(" clover club ",$AA62)),ISNUMBER(SEARCH(" ramos gin fizz ",$AA62)))),"?","")))),"")</f>
        <v/>
      </c>
      <c r="H62" s="233" t="str">
        <f>IF(62=62,IF($B62="","",IF(ISNUMBER(SEARCH(" colin ",$AA62)),"X",IF(AZ62="X","X",IF(OR(AZ62="?",OR(ISNUMBER(SEARCH(" worcestershire ",$AA62)),ISNUMBER(SEARCH(" bloody mary ",$AA62)))),"?","")))),"")</f>
        <v/>
      </c>
      <c r="I62" s="233" t="str">
        <f>IF(62=62,IF($B62="","",BB62),"")</f>
        <v/>
      </c>
      <c r="J62" s="233" t="str">
        <f>IF(62=62,IF($B62="","",BF62),"")</f>
        <v/>
      </c>
      <c r="K62" s="233" t="str">
        <f>IF(62=62,IF($B62="","",IF(OR(OR(TRIM($AA62)="puree pate d amande",TRIM($AA62)="pate puree d amande",TRIM($AA62)="puree d amande",TRIM($AA62)="pate d amande",TRIM($AA62)="pate puree de noisette",TRIM($AA62)="puree pate de noisette",TRIM($AA62)="puree de noisette",TRIM($AA62)="pate de noisette"),OR(TRIM($AA62)="beurre puree d arachide",TRIM($AA62)="beurre d arachide",TRIM($AA62)="puree d arachide"),OR(TRIM($AA62)="tahini puree de sesame",TRIM($AA62)="tahini",TRIM($AA62)="puree de sesame")),"",IF(OR(TRIM($AA62)="creme de cassis",TRIM($AA62)="creme de menthe",TRIM($AA62)="creme de cacao",TRIM($AA62)="creme de mure",TRIM($AA62)="creme de framboise",TRIM($AA62)="creme de peche",TRIM($AA62)="creme de banane",TRIM($AA62)="liqueur creme de coco",TRIM($AA62)="creme de coco",TRIM($AA62)="spiritueux aromatise arrange creme de spiritueux"),"?",IF(OR(BM62="X",OR(ISNUMBER(SEARCH(" baileys ",$AA62)),ISNUMBER(SEARCH(" irish cream ",$AA62)),ISNUMBER(SEARCH(" creme de whisky ",$AA62)))),"X",IF(OR(BM62="?",OR(OR(TRIM($AA62)="creme de cassis",TRIM($AA62)="creme de menthe",TRIM($AA62)="creme de cacao",TRIM($AA62)="creme de mure",TRIM($AA62)="creme de framboise",TRIM($AA62)="creme de peche",TRIM($AA62)="creme de banane",TRIM($AA62)="liqueur creme de coco",TRIM($AA62)="creme de coco",TRIM($AA62)="spiritueux aromatise arrange creme de spiritueux"),ISNUMBER(SEARCH(" advocaat ",$AA62)),ISNUMBER(SEARCH(" liqueur aux oeufs ",$AA62)),ISNUMBER(SEARCH(" liqueur de chocolat ",$AA62)),ISNUMBER(SEARCH(" liqueur de caramel ",$AA62)),ISNUMBER(SEARCH(" sauce nappage chocolat ",$AA62)),ISNUMBER(SEARCH(" biscuit decoratif ",$AA62)),ISNUMBER(SEARCH(" white russian ",$AA62)),ISNUMBER(SEARCH(" grasshopper ",$AA62)),ISNUMBER(SEARCH(" irish coffee ",$AA62)),ISNUMBER(SEARCH(" ramos gin fizz ",$AA62)),ISNUMBER(SEARCH(" egg nog ",$AA62)),ISNUMBER(SEARCH(" eggnog ",$AA62)))),"?",""))))),"")</f>
        <v/>
      </c>
      <c r="L62" s="233" t="str">
        <f>IF(62=62,IF($B62="","",IF(OR(BQ62="X",OR(OR(TRIM($AA62)="puree pate d amande",TRIM($AA62)="pate puree d amande",TRIM($AA62)="puree d amande",TRIM($AA62)="pate d amande",TRIM($AA62)="pate puree de noisette",TRIM($AA62)="puree pate de noisette",TRIM($AA62)="puree de noisette",TRIM($AA62)="pate de noisette"),ISNUMBER(SEARCH(" macaron ",$AA62)),TRIM($AA62)="fruits a coque")),"X",IF(OR(BQ62="?",OR(ISNUMBER(SEARCH(" sirop d orgeat ",$AA62)),ISNUMBER(SEARCH(" orgeat ",$AA62)),ISNUMBER(SEARCH(" amaretto ",$AA62)))),"?",""))),"")</f>
        <v/>
      </c>
      <c r="M62" s="233" t="str">
        <f>IF(62=62,IF($B62="","",IF(OR(OR(TRIM($AA62)="puree pate d amande",TRIM($AA62)="pate puree d amande",TRIM($AA62)="puree d amande",TRIM($AA62)="pate d amande",TRIM($AA62)="pate puree de noisette",TRIM($AA62)="puree pate de noisette",TRIM($AA62)="puree de noisette",TRIM($AA62)="pate de noisette"),OR(TRIM($AA62)="tahini puree de sesame",TRIM($AA62)="tahini",TRIM($AA62)="puree de sesame")),"",IF(BT62="X","X",IF(OR(BT62="?",ISNUMBER(SEARCH(" bloody mary ",$AA62))),"?","")))),"")</f>
        <v/>
      </c>
      <c r="N62" s="233" t="str">
        <f>IF(62=62,IF($B62="","",IF(OR(OR(TRIM($AA62)="puree pate d amande",TRIM($AA62)="pate puree d amande",TRIM($AA62)="puree d amande",TRIM($AA62)="pate d amande",TRIM($AA62)="pate puree de noisette",TRIM($AA62)="puree pate de noisette",TRIM($AA62)="puree de noisette",TRIM($AA62)="pate de noisette"),OR(TRIM($AA62)="tahini puree de sesame",TRIM($AA62)="tahini",TRIM($AA62)="puree de sesame")),"",IF(BW62="X","X",IF(OR(BW62="?",ISNUMBER(SEARCH(" bloody mary ",$AA62))),"?","")))),"")</f>
        <v/>
      </c>
      <c r="O62" s="233" t="str">
        <f>IF(62=62,IF($B62="","",BZ62),"")</f>
        <v/>
      </c>
      <c r="P62" s="233" t="str">
        <f>IF(62=62,IF($B62="","",CC62),"")</f>
        <v/>
      </c>
      <c r="Q62" s="233" t="str">
        <f>IF(62=62,IF($B62="","",CF62),"")</f>
        <v/>
      </c>
      <c r="R62" s="233" t="str">
        <f>IF(62=62,IF($B62="","",IF(TRIM($AA62)="fruits a coque","",IF(CL62="X","X",IF(OR(CL62="?",OR(ISNUMBER(SEARCH(" clamato ",$AA62)),ISNUMBER(SEARCH(" bloody caesar ",$AA62)))),"?","")))),"")</f>
        <v/>
      </c>
      <c r="S62" s="234" t="str">
        <f>IF(62=62,IF($B62="","",IF(E62="?",""&amp;"Céréales contenant du gluten","")&amp;IF(F62="?",IF(COUNTIF($E62:$E62,"~?")&gt;0,", ","")&amp;"Crustacés","")&amp;IF(G62="?",IF(COUNTIF($E62:$F62,"~?")&gt;0,", ","")&amp;"Œufs","")&amp;IF(H62="?",IF(COUNTIF($E62:$G62,"~?")&gt;0,", ","")&amp;"Poissons","")&amp;IF(I62="?",IF(COUNTIF($E62:$H62,"~?")&gt;0,", ","")&amp;"Arachides","")&amp;IF(J62="?",IF(COUNTIF($E62:$I62,"~?")&gt;0,", ","")&amp;"Soja","")&amp;IF(K62="?",IF(COUNTIF($E62:$J62,"~?")&gt;0,", ","")&amp;"Lait","")&amp;IF(L62="?",IF(COUNTIF($E62:$K62,"~?")&gt;0,", ","")&amp;"Fruits à coque","")&amp;IF(M62="?",IF(COUNTIF($E62:$L62,"~?")&gt;0,", ","")&amp;"Céleri","")&amp;IF(N62="?",IF(COUNTIF($E62:$M62,"~?")&gt;0,", ","")&amp;"Moutarde","")&amp;IF(O62="?",IF(COUNTIF($E62:$N62,"~?")&gt;0,", ","")&amp;"Sésame","")&amp;IF(P62="?",IF(COUNTIF($E62:$O62,"~?")&gt;0,", ","")&amp;"Sulfites","")&amp;IF(Q62="?",IF(COUNTIF($E62:$P62,"~?")&gt;0,", ","")&amp;"Lupin","")&amp;IF(R62="?",IF(COUNTIF($E62:$Q62,"~?")&gt;0,", ","")&amp;"Mollusques","")),"")</f>
        <v/>
      </c>
      <c r="U62" s="209" t="str">
        <f>IF(62=62,IF($B62="","",$B62),"")</f>
        <v/>
      </c>
      <c r="V62" s="209" t="str">
        <f>IF(62=62,LOWER(CLEAN(SUBSTITUTE(SUBSTITUTE(SUBSTITUTE(SUBSTITUTE($U62,CHAR(160)," ")," "," "),CHAR(10)," "),CHAR(13)," "))),"")</f>
        <v/>
      </c>
      <c r="W62" s="209" t="str">
        <f>IF(62=62,SUBSTITUTE(SUBSTITUTE(SUBSTITUTE(SUBSTITUTE(SUBSTITUTE(SUBSTITUTE(SUBSTITUTE(SUBSTITUTE(SUBSTITUTE(SUBSTITUTE(SUBSTITUTE(SUBSTITUTE($V62,"œ","oe"),"æ","ae"),"à","a"),"á","a"),"â","a"),"ä","a"),"ã","a"),"ç","c"),"è","e"),"é","e"),"ê","e"),"ë","e"),"")</f>
        <v/>
      </c>
      <c r="X62" s="209" t="str">
        <f>IF(62=62,SUBSTITUTE(SUBSTITUTE(SUBSTITUTE(SUBSTITUTE(SUBSTITUTE(SUBSTITUTE(SUBSTITUTE(SUBSTITUTE(SUBSTITUTE(SUBSTITUTE(SUBSTITUTE(SUBSTITUTE(SUBSTITUTE(SUBSTITUTE(SUBSTITUTE(SUBSTITUTE($W62,"ì","i"),"í","i"),"î","i"),"ï","i"),"ñ","n"),"ò","o"),"ó","o"),"ô","o"),"ö","o"),"õ","o"),"ù","u"),"ú","u"),"û","u"),"ü","u"),"ý","y"),"ÿ","y"),"")</f>
        <v/>
      </c>
      <c r="Y62" s="209" t="str">
        <f>IF(62=62,SUBSTITUTE(SUBSTITUTE(SUBSTITUTE(SUBSTITUTE(SUBSTITUTE(SUBSTITUTE(SUBSTITUTE(SUBSTITUTE(SUBSTITUTE(SUBSTITUTE(SUBSTITUTE(SUBSTITUTE(SUBSTITUTE(SUBSTITUTE($X62,"’"," "),"`"," "),"–"," "),"—"," "),"-"," "),"'"," "),"/"," "),"_"," "),","," "),"."," "),"("," "),")"," "),";"," "),":"," "),"")</f>
        <v/>
      </c>
      <c r="Z62" s="209" t="str">
        <f>IF(62=62,SUBSTITUTE(SUBSTITUTE(SUBSTITUTE(SUBSTITUTE(SUBSTITUTE(SUBSTITUTE(SUBSTITUTE(SUBSTITUTE(SUBSTITUTE(SUBSTITUTE(SUBSTITUTE(SUBSTITUTE(SUBSTITUTE(SUBSTITUTE(SUBSTITUTE($Y62,"!"," "),"?"," "),"+"," "),"*"," "),"&amp;"," "),"["," "),"]"," "),"{"," "),"}"," "),"%"," "),"="," "),"\"," "),"|"," "),"&lt;"," "),"&gt;"," "),"")</f>
        <v/>
      </c>
      <c r="AA62" s="209" t="str">
        <f>IF(62=62," "&amp;TRIM(SUBSTITUTE(SUBSTITUTE(SUBSTITUTE(SUBSTITUTE(SUBSTITUTE(SUBSTITUTE($Z62,CHAR(34)," "),"  "," "),"  "," "),"  "," "),"  "," "),"  "," "))&amp;" ","")</f>
        <v xml:space="preserve">  </v>
      </c>
      <c r="AB62" s="209" t="str">
        <f>IF(62=62,IF($U62="","",SUMPRODUCT(--ISNUMBER(SEARCH(" "&amp;$CR$2:$CR$101&amp;" ",$AD62)))),"")</f>
        <v/>
      </c>
      <c r="AC62" s="209" t="str">
        <f>IF(62=62,IF($U62="","",SUMPRODUCT(--ISNUMBER(SEARCH(" "&amp;$CR$102:$CR$151&amp;" ",$AD62)))),"")</f>
        <v/>
      </c>
      <c r="AD62" s="209" t="str">
        <f t="shared" si="1"/>
        <v/>
      </c>
      <c r="AE62" s="209" t="str">
        <f t="shared" si="2"/>
        <v/>
      </c>
      <c r="AF62" s="209" t="str">
        <f>IF(62=62,IF($U62="","",IF(SUM(AB62:AC62)+SUMPRODUCT(--ISNUMBER(SEARCH(" "&amp;$CR$2418:$CR$2420&amp;" ",$AD62)))&gt;0,"X",IF(AE62&gt;0,"?",""))),"")</f>
        <v/>
      </c>
      <c r="AG62" s="209" t="str">
        <f>IF(62=62,IF($U62="","",SUMPRODUCT(--ISNUMBER(SEARCH(" "&amp;$CR$206:$CR$305&amp;" ",$AA62)))),"")</f>
        <v/>
      </c>
      <c r="AH62" s="209" t="str">
        <f>IF(62=62,IF($U62="","",SUMPRODUCT(--ISNUMBER(SEARCH(" "&amp;$CR$306:$CR$340&amp;" ",$AA62)))),"")</f>
        <v/>
      </c>
      <c r="AI62" s="209" t="str">
        <f>IF(62=62,IF($U62="","",IF((SUM(AG62:AH62))-(0)&gt;0,"X",IF((0)-(0)&gt;0,"?",""))),"")</f>
        <v/>
      </c>
      <c r="AJ62" s="209" t="str">
        <f>IF(62=62,IF($U62="","",SUMPRODUCT(--ISNUMBER(SEARCH(" "&amp;$CR$341:$CR$398&amp;" ",$AA62)))),"")</f>
        <v/>
      </c>
      <c r="AK62" s="209" t="str">
        <f>IF(62=62,IF($U62="","",SUMPRODUCT(--ISNUMBER(SEARCH(" "&amp;$CR$399:$CR$426&amp;" ",$AL62)))+SUMPRODUCT(--ISNUMBER(SEARCH(" "&amp;$CR$2440:$CR$2453&amp;" ",$AL62)))),"")</f>
        <v/>
      </c>
      <c r="AL62" s="209" t="str">
        <f>IF(62=62,IF($U62="","",SUBSTITUTE(SUBSTITUTE(SUBSTITUTE(SUBSTITUTE(SUBSTITUTE(SUBSTITUTE(SUBSTITUTE(SUBSTITUTE(SUBSTITUTE(SUBSTITUTE(SUBSTITUTE(SUBSTITUTE(SUBSTITUTE(SUBSTITUTE($AA62,"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/>
      </c>
      <c r="AM62" s="209" t="str">
        <f>IF(62=62,IF($U62="","",IF(AJ62&gt;0,"X",IF(AK62&gt;0,"?",""))),"")</f>
        <v/>
      </c>
      <c r="AN62" s="209" t="str">
        <f>IF(62=62,IF($U62="","",SUMPRODUCT(--ISNUMBER(SEARCH(" "&amp;$CR$436:$CR$535&amp;" ",$AX62)))),"")</f>
        <v/>
      </c>
      <c r="AO62" s="209" t="str">
        <f>IF(62=62,IF($U62="","",SUMPRODUCT(--ISNUMBER(SEARCH(" "&amp;$CR$536:$CR$635&amp;" ",$AX62)))),"")</f>
        <v/>
      </c>
      <c r="AP62" s="209" t="str">
        <f>IF(62=62,IF($U62="","",SUMPRODUCT(--ISNUMBER(SEARCH(" "&amp;$CR$636:$CR$735&amp;" ",$AX62)))),"")</f>
        <v/>
      </c>
      <c r="AQ62" s="209" t="str">
        <f>IF(62=62,IF($U62="","",SUMPRODUCT(--ISNUMBER(SEARCH(" "&amp;$CR$736:$CR$835&amp;" ",$AX62)))),"")</f>
        <v/>
      </c>
      <c r="AR62" s="209" t="str">
        <f>IF(62=62,IF($U62="","",SUMPRODUCT(--ISNUMBER(SEARCH(" "&amp;$CR$836:$CR$935&amp;" ",$AX62)))),"")</f>
        <v/>
      </c>
      <c r="AS62" s="209" t="str">
        <f>IF(62=62,IF($U62="","",SUMPRODUCT(--ISNUMBER(SEARCH(" "&amp;$CR$936:$CR$1035&amp;" ",$AX62)))),"")</f>
        <v/>
      </c>
      <c r="AT62" s="209" t="str">
        <f>IF(62=62,IF($U62="","",SUMPRODUCT(--ISNUMBER(SEARCH(" "&amp;$CR$1036:$CR$1135&amp;" ",$AX62)))),"")</f>
        <v/>
      </c>
      <c r="AU62" s="209" t="str">
        <f>IF(62=62,IF($U62="","",SUMPRODUCT(--ISNUMBER(SEARCH(" "&amp;$CR$1136:$CR$1235&amp;" ",$AX62)))),"")</f>
        <v/>
      </c>
      <c r="AV62" s="209" t="str">
        <f>IF(62=62,IF($U62="","",SUMPRODUCT(--ISNUMBER(SEARCH(" "&amp;$CR$1236:$CR$1335&amp;" ",$AX62)))),"")</f>
        <v/>
      </c>
      <c r="AW62" s="209" t="str">
        <f>IF(62=62,IF($U62="","",SUMPRODUCT(--ISNUMBER(SEARCH(" "&amp;$CR$1336:$CR$1363&amp;" ",$AX62)))),"")</f>
        <v/>
      </c>
      <c r="AX62" s="209" t="str">
        <f>IF(62=62,IF($U62="","",SUBSTITUTE(SUBSTITUTE(SUBSTITUTE(SUBSTITUTE(SUBSTITUTE(SUBSTITUTE(SUBSTITUTE(SUBSTITUTE(SUBSTITUTE($AA62,"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/>
      </c>
      <c r="AY62" s="209" t="str">
        <f>IF(62=62,IF($U62="","",SUMPRODUCT(--ISNUMBER(SEARCH(" "&amp;$CR$1373:$CR$1383&amp;" ",$AX62)))),"")</f>
        <v/>
      </c>
      <c r="AZ62" s="209" t="str">
        <f>IF(62=62,IF($U62="","",IF(SUM(AN62:AW62)+SUMPRODUCT(--ISNUMBER(SEARCH(" "&amp;$CR$2421:$CR$2422&amp;" ",$AX62)))&gt;0,"X",IF(AY62&gt;0,"?",""))),"")</f>
        <v/>
      </c>
      <c r="BA62" s="209" t="str">
        <f>IF(62=62,IF($U62="","",SUMPRODUCT(--ISNUMBER(SEARCH(" "&amp;$CR$1384:$CR$1404&amp;" ",$AA62)))),"")</f>
        <v/>
      </c>
      <c r="BB62" s="209" t="str">
        <f>IF(62=62,IF($U62="","",IF((BA62)-(0)&gt;0,"X",IF((0)-(0)&gt;0,"?",""))),"")</f>
        <v/>
      </c>
      <c r="BC62" s="209" t="str">
        <f>IF(62=62,IF($U62="","",SUMPRODUCT(--ISNUMBER(SEARCH(" "&amp;$CR$1405:$CR$1442&amp;" ",$BD62)))),"")</f>
        <v/>
      </c>
      <c r="BD62" s="209" t="str">
        <f>IF(62=62,IF($U62="","",SUBSTITUTE(SUBSTITUTE($AA62," "&amp;$CR$1443&amp;" "," ")," "&amp;$CR$1444&amp;" "," ")),"")</f>
        <v/>
      </c>
      <c r="BE62" s="209" t="str">
        <f>IF(62=62,IF($U62="","",SUMPRODUCT(--ISNUMBER(SEARCH(" "&amp;$CR$1445:$CR$1455&amp;" ",$BD62)))),"")</f>
        <v/>
      </c>
      <c r="BF62" s="209" t="str">
        <f>IF(62=62,IF($U62="","",IF(BC62&gt;0,"X",IF(BE62&gt;0,"?",""))),"")</f>
        <v/>
      </c>
      <c r="BG62" s="209" t="str">
        <f>IF(62=62,IF($U62="","",SUMPRODUCT(--ISNUMBER(SEARCH(" "&amp;$CR$1456:$CR$1555&amp;" ",$BJ62)))),"")</f>
        <v/>
      </c>
      <c r="BH62" s="209" t="str">
        <f>IF(62=62,IF($U62="","",SUMPRODUCT(--ISNUMBER(SEARCH(" "&amp;$CR$1556:$CR$1655&amp;" ",$BJ62)))),"")</f>
        <v/>
      </c>
      <c r="BI62" s="209" t="str">
        <f>IF(62=62,IF($U62="","",SUMPRODUCT(--ISNUMBER(SEARCH(" "&amp;$CR$1656:$CR$1739&amp;" ",$BJ62)))),"")</f>
        <v/>
      </c>
      <c r="BJ62" s="209" t="str">
        <f>IF(62=62,IF($U62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62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/>
      </c>
      <c r="BK62" s="209" t="str">
        <f>IF(62=62,IF($U62="","",SUMPRODUCT(--ISNUMBER(SEARCH(" "&amp;$CR$1790:$CR$1869&amp;" ",$BL62)))+SUMPRODUCT(--ISNUMBER(SEARCH(" "&amp;$CR$2440:$CR$2453&amp;" ",$BL62)))),"")</f>
        <v/>
      </c>
      <c r="BL62" s="209" t="str">
        <f>IF(62=62,IF($U62="","",SUBSTITUTE(SUBSTITUTE(SUBSTITUTE(SUBSTITUTE(SUBSTITUTE(SUBSTITUTE(SUBSTITUTE(SUBSTITUTE(SUBSTITUTE(SUBSTITUTE(SUBSTITUTE(SUBSTITUTE(SUBSTITUTE($BJ62,"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/>
      </c>
      <c r="BM62" s="209" t="str">
        <f>IF(62=62,IF($U62="","",IF(SUM(BG62:BI62)+SUMPRODUCT(--ISNUMBER(SEARCH(" "&amp;$CR$2423:$CR$2424&amp;" ",$BJ62)))&gt;0,"X",IF(BK62&gt;0,"?",""))),"")</f>
        <v/>
      </c>
      <c r="BN62" s="209" t="str">
        <f>IF(62=62,IF($U62="","",SUMPRODUCT(--ISNUMBER(SEARCH(" "&amp;$CR$1879:$CR$1936&amp;" ",$BO62)))),"")</f>
        <v/>
      </c>
      <c r="BO62" s="209" t="str">
        <f>IF(62=62,IF($U62="","",SUBSTITUTE(SUBSTITUTE(SUBSTITUTE(SUBSTITUTE(SUBSTITUTE(SUBSTITUTE(SUBSTITUTE(SUBSTITUTE(SUBSTITUTE(SUBSTITUTE(SUBSTITUTE(SUBSTITUTE(SUBSTITUTE(SUBSTITUTE(SUBSTITUTE(SUBSTITUTE(SUBSTITUTE(SUBSTITUTE(SUBSTITUTE(SUBSTITUTE(SUBSTITUTE(SUBSTITUTE(SUBSTITUTE($AA62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/>
      </c>
      <c r="BP62" s="209" t="str">
        <f>IF(62=62,IF($U62="","",SUMPRODUCT(--ISNUMBER(SEARCH(" "&amp;$CR$1960:$CR$1976&amp;" ",$BO62)))),"")</f>
        <v/>
      </c>
      <c r="BQ62" s="209" t="str">
        <f>IF(62=62,IF($U62="","",IF(BN62&gt;0,"X",IF(BP62&gt;0,"?",""))),"")</f>
        <v/>
      </c>
      <c r="BR62" s="209" t="str">
        <f>IF(62=62,IF($U62="","",SUMPRODUCT(--ISNUMBER(SEARCH(" "&amp;$CR$1977:$CR$1990&amp;" ",$AA62)))),"")</f>
        <v/>
      </c>
      <c r="BS62" s="209" t="str">
        <f>IF(62=62,IF($U62="","",SUMPRODUCT(--ISNUMBER(SEARCH(" "&amp;$CR$1991:$CR$2005&amp;" ",$AA62)))),"")</f>
        <v/>
      </c>
      <c r="BT62" s="209" t="str">
        <f>IF(62=62,IF($U62="","",IF((BR62)-(0)&gt;0,"X",IF((BS62)-(0)&gt;0,"?",""))),"")</f>
        <v/>
      </c>
      <c r="BU62" s="209" t="str">
        <f>IF(62=62,IF($U62="","",SUMPRODUCT(--ISNUMBER(SEARCH(" "&amp;$CR$2006:$CR$2023&amp;" ",$AA62)))),"")</f>
        <v/>
      </c>
      <c r="BV62" s="209" t="str">
        <f>IF(62=62,IF($U62="","",SUMPRODUCT(--ISNUMBER(SEARCH(" "&amp;$CR$2024:$CR$2038&amp;" ",$AA62)))),"")</f>
        <v/>
      </c>
      <c r="BW62" s="209" t="str">
        <f>IF(62=62,IF($U62="","",IF((BU62)-(0)&gt;0,"X",IF((BV62)-(0)&gt;0,"?",""))),"")</f>
        <v/>
      </c>
      <c r="BX62" s="209" t="str">
        <f>IF(62=62,IF($U62="","",SUMPRODUCT(--ISNUMBER(SEARCH(" "&amp;$CR$2039:$CR$2057&amp;" ",$AA62)))),"")</f>
        <v/>
      </c>
      <c r="BY62" s="209" t="str">
        <f>IF(62=62,IF($U62="","",SUMPRODUCT(--ISNUMBER(SEARCH(" "&amp;$CR$2058:$CR$2072&amp;" ",$AA62)))),"")</f>
        <v/>
      </c>
      <c r="BZ62" s="209" t="str">
        <f>IF(62=62,IF($U62="","",IF((BX62)-(0)&gt;0,"X",IF((BY62)-(0)&gt;0,"?",""))),"")</f>
        <v/>
      </c>
      <c r="CA62" s="209" t="str">
        <f>IF(62=62,IF($U62="","",SUMPRODUCT(--ISNUMBER(SEARCH(" "&amp;$CR$2073:$CR$2093&amp;" ",$AA62)))),"")</f>
        <v/>
      </c>
      <c r="CB62" s="209" t="str">
        <f>IF(62=62,IF($U62="","",SUMPRODUCT(--ISNUMBER(SEARCH(" "&amp;$CR$2094:$CR$2133&amp;" ",SUBSTITUTE(SUBSTITUTE($AA62," "&amp;$CR$1367&amp;" "," ")," "&amp;$CR$1366&amp;" "," "))))+--ISNUMBER(SEARCH("poiré",$V62))),"")</f>
        <v/>
      </c>
      <c r="CC62" s="209" t="str">
        <f>IF(62=62,IF($U62="","",IF(OR(CA62&gt;0,ISNUMBER(SEARCH(" vinaigre de vin ",$AA62)),ISNUMBER(SEARCH(" vinaigre au vin ",$AA62))),"X",IF(CB62&gt;0,"?",""))),"")</f>
        <v/>
      </c>
      <c r="CD62" s="209" t="str">
        <f>IF(62=62,IF($U62="","",SUMPRODUCT(--ISNUMBER(SEARCH(" "&amp;$CR$2134:$CR$2146&amp;" ",$AA62)))),"")</f>
        <v/>
      </c>
      <c r="CE62" s="209" t="str">
        <f>IF(62=62,IF($U62="","",SUMPRODUCT(--ISNUMBER(SEARCH(" "&amp;$CR$2147:$CR$2152&amp;" ",$AA62)))),"")</f>
        <v/>
      </c>
      <c r="CF62" s="209" t="str">
        <f>IF(62=62,IF($U62="","",IF((CD62)-(0)&gt;0,"X",IF((CE62)-(0)&gt;0,"?",""))),"")</f>
        <v/>
      </c>
      <c r="CG62" s="209" t="str">
        <f>IF(62=62,IF($U62="","",SUMPRODUCT(--ISNUMBER(SEARCH(" "&amp;$CR$2153:$CR$2252&amp;" ",$CJ62)))),"")</f>
        <v/>
      </c>
      <c r="CH62" s="209" t="str">
        <f>IF(62=62,IF($U62="","",SUMPRODUCT(--ISNUMBER(SEARCH(" "&amp;$CR$2253:$CR$2352&amp;" ",$CJ62)))),"")</f>
        <v/>
      </c>
      <c r="CI62" s="209" t="str">
        <f>IF(62=62,IF($U62="","",SUMPRODUCT(--ISNUMBER(SEARCH(" "&amp;$CR$2353:$CR$2395&amp;" ",$CJ62)))),"")</f>
        <v/>
      </c>
      <c r="CJ62" s="209" t="str">
        <f>IF(62=62,IF($U62="","",SUBSTITUTE(SUBSTITUTE(SUBSTITUTE(SUBSTITUTE(SUBSTITUTE(SUBSTITUTE(SUBSTITUTE(SUBSTITUTE(SUBSTITUTE(SUBSTITUTE(SUBSTITUTE(SUBSTITUTE(SUBSTITUTE(SUBSTITUTE(SUBSTITUTE(SUBSTITUTE($AA62,"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/>
      </c>
      <c r="CK62" s="209" t="str">
        <f>IF(62=62,IF($U62="","",SUMPRODUCT(--ISNUMBER(SEARCH(" "&amp;$CR$2412:$CR$2416&amp;" ",$CJ62)))),"")</f>
        <v/>
      </c>
      <c r="CL62" s="209" t="str">
        <f>IF(62=62,IF($U62="","",IF(SUM(CG62:CI62)&gt;0,"X",IF(CK62&gt;0,"?",""))),"")</f>
        <v/>
      </c>
      <c r="CM62" s="210"/>
      <c r="CN62" s="213" t="s">
        <v>1106</v>
      </c>
      <c r="CO62" s="213" t="s">
        <v>878</v>
      </c>
      <c r="CP62" s="213" t="s">
        <v>879</v>
      </c>
      <c r="CQ62" s="213" t="s">
        <v>1107</v>
      </c>
      <c r="CR62" s="213" t="s">
        <v>1107</v>
      </c>
      <c r="CS62" s="213" t="s">
        <v>881</v>
      </c>
      <c r="CT62" s="213" t="s">
        <v>882</v>
      </c>
      <c r="CU62" s="213" t="s">
        <v>883</v>
      </c>
      <c r="CV62" s="214" t="s">
        <v>884</v>
      </c>
      <c r="CX62" s="212">
        <v>1</v>
      </c>
    </row>
    <row r="63" spans="1:102" ht="21" customHeight="1">
      <c r="A63" s="229">
        <v>57</v>
      </c>
      <c r="B63" s="230"/>
      <c r="C63" s="231" t="str">
        <f t="shared" si="0"/>
        <v/>
      </c>
      <c r="D63" s="232" t="str">
        <f>IF(63=63,IF($B63="","",IF(E63="X",""&amp;"Céréales contenant du gluten","")&amp;IF(F63="X",IF(COUNTIF($E63:$E63,"X")&gt;0,", ","")&amp;"Crustacés","")&amp;IF(G63="X",IF(COUNTIF($E63:$F63,"X")&gt;0,", ","")&amp;"Œufs","")&amp;IF(H63="X",IF(COUNTIF($E63:$G63,"X")&gt;0,", ","")&amp;"Poissons","")&amp;IF(I63="X",IF(COUNTIF($E63:$H63,"X")&gt;0,", ","")&amp;"Arachides","")&amp;IF(J63="X",IF(COUNTIF($E63:$I63,"X")&gt;0,", ","")&amp;"Soja","")&amp;IF(K63="X",IF(COUNTIF($E63:$J63,"X")&gt;0,", ","")&amp;"Lait","")&amp;IF(L63="X",IF(COUNTIF($E63:$K63,"X")&gt;0,", ","")&amp;"Fruits à coque","")&amp;IF(M63="X",IF(COUNTIF($E63:$L63,"X")&gt;0,", ","")&amp;"Céleri","")&amp;IF(N63="X",IF(COUNTIF($E63:$M63,"X")&gt;0,", ","")&amp;"Moutarde","")&amp;IF(O63="X",IF(COUNTIF($E63:$N63,"X")&gt;0,", ","")&amp;"Sésame","")&amp;IF(P63="X",IF(COUNTIF($E63:$O63,"X")&gt;0,", ","")&amp;"Sulfites","")&amp;IF(Q63="X",IF(COUNTIF($E63:$P63,"X")&gt;0,", ","")&amp;"Lupin","")&amp;IF(R63="X",IF(COUNTIF($E63:$Q63,"X")&gt;0,", ","")&amp;"Mollusques","")),"")</f>
        <v/>
      </c>
      <c r="E63" s="233" t="str">
        <f>IF(63=63,IF($B63="","",IF(OR(ISNUMBER(SEARCH(" biere sans gluten ",$AA63)),ISNUMBER(SEARCH(" gluten free beer ",$AA63)),ISNUMBER(SEARCH(" beer gluten free ",$AA63))),"",IF(AF63="X","X",IF(OR(AF63="?",OR(ISNUMBER(SEARCH(" worcestershire ",$AA63)),ISNUMBER(SEARCH(" bloody mary ",$AA63)))),"?","")))),"")</f>
        <v/>
      </c>
      <c r="F63" s="233" t="str">
        <f>IF(63=63,IF($B63="","",AI63),"")</f>
        <v/>
      </c>
      <c r="G63" s="233" t="str">
        <f>IF(63=63,IF($B63="","",IF(OR(TRIM($AA63)="puree pate d amande",TRIM($AA63)="pate puree d amande",TRIM($AA63)="puree d amande",TRIM($AA63)="pate d amande",TRIM($AA63)="pate puree de noisette",TRIM($AA63)="puree pate de noisette",TRIM($AA63)="puree de noisette",TRIM($AA63)="pate de noisette"),"",IF(OR(AM63="X",OR(ISNUMBER(SEARCH(" macaron ",$AA63)),ISNUMBER(SEARCH(" egg nog ",$AA63)),ISNUMBER(SEARCH(" eggnog ",$AA63)))),"X",IF(OR(AM63="?",OR(ISNUMBER(SEARCH(" biscuit decoratif ",$AA63)),ISNUMBER(SEARCH(" whisky sour ",$AA63)),ISNUMBER(SEARCH(" whiskey sour ",$AA63)),ISNUMBER(SEARCH(" amaretto sour ",$AA63)),ISNUMBER(SEARCH(" pisco sour ",$AA63)),ISNUMBER(SEARCH(" clover club ",$AA63)),ISNUMBER(SEARCH(" ramos gin fizz ",$AA63)))),"?","")))),"")</f>
        <v/>
      </c>
      <c r="H63" s="233" t="str">
        <f>IF(63=63,IF($B63="","",IF(ISNUMBER(SEARCH(" colin ",$AA63)),"X",IF(AZ63="X","X",IF(OR(AZ63="?",OR(ISNUMBER(SEARCH(" worcestershire ",$AA63)),ISNUMBER(SEARCH(" bloody mary ",$AA63)))),"?","")))),"")</f>
        <v/>
      </c>
      <c r="I63" s="233" t="str">
        <f>IF(63=63,IF($B63="","",BB63),"")</f>
        <v/>
      </c>
      <c r="J63" s="233" t="str">
        <f>IF(63=63,IF($B63="","",BF63),"")</f>
        <v/>
      </c>
      <c r="K63" s="233" t="str">
        <f>IF(63=63,IF($B63="","",IF(OR(OR(TRIM($AA63)="puree pate d amande",TRIM($AA63)="pate puree d amande",TRIM($AA63)="puree d amande",TRIM($AA63)="pate d amande",TRIM($AA63)="pate puree de noisette",TRIM($AA63)="puree pate de noisette",TRIM($AA63)="puree de noisette",TRIM($AA63)="pate de noisette"),OR(TRIM($AA63)="beurre puree d arachide",TRIM($AA63)="beurre d arachide",TRIM($AA63)="puree d arachide"),OR(TRIM($AA63)="tahini puree de sesame",TRIM($AA63)="tahini",TRIM($AA63)="puree de sesame")),"",IF(OR(TRIM($AA63)="creme de cassis",TRIM($AA63)="creme de menthe",TRIM($AA63)="creme de cacao",TRIM($AA63)="creme de mure",TRIM($AA63)="creme de framboise",TRIM($AA63)="creme de peche",TRIM($AA63)="creme de banane",TRIM($AA63)="liqueur creme de coco",TRIM($AA63)="creme de coco",TRIM($AA63)="spiritueux aromatise arrange creme de spiritueux"),"?",IF(OR(BM63="X",OR(ISNUMBER(SEARCH(" baileys ",$AA63)),ISNUMBER(SEARCH(" irish cream ",$AA63)),ISNUMBER(SEARCH(" creme de whisky ",$AA63)))),"X",IF(OR(BM63="?",OR(OR(TRIM($AA63)="creme de cassis",TRIM($AA63)="creme de menthe",TRIM($AA63)="creme de cacao",TRIM($AA63)="creme de mure",TRIM($AA63)="creme de framboise",TRIM($AA63)="creme de peche",TRIM($AA63)="creme de banane",TRIM($AA63)="liqueur creme de coco",TRIM($AA63)="creme de coco",TRIM($AA63)="spiritueux aromatise arrange creme de spiritueux"),ISNUMBER(SEARCH(" advocaat ",$AA63)),ISNUMBER(SEARCH(" liqueur aux oeufs ",$AA63)),ISNUMBER(SEARCH(" liqueur de chocolat ",$AA63)),ISNUMBER(SEARCH(" liqueur de caramel ",$AA63)),ISNUMBER(SEARCH(" sauce nappage chocolat ",$AA63)),ISNUMBER(SEARCH(" biscuit decoratif ",$AA63)),ISNUMBER(SEARCH(" white russian ",$AA63)),ISNUMBER(SEARCH(" grasshopper ",$AA63)),ISNUMBER(SEARCH(" irish coffee ",$AA63)),ISNUMBER(SEARCH(" ramos gin fizz ",$AA63)),ISNUMBER(SEARCH(" egg nog ",$AA63)),ISNUMBER(SEARCH(" eggnog ",$AA63)))),"?",""))))),"")</f>
        <v/>
      </c>
      <c r="L63" s="233" t="str">
        <f>IF(63=63,IF($B63="","",IF(OR(BQ63="X",OR(OR(TRIM($AA63)="puree pate d amande",TRIM($AA63)="pate puree d amande",TRIM($AA63)="puree d amande",TRIM($AA63)="pate d amande",TRIM($AA63)="pate puree de noisette",TRIM($AA63)="puree pate de noisette",TRIM($AA63)="puree de noisette",TRIM($AA63)="pate de noisette"),ISNUMBER(SEARCH(" macaron ",$AA63)),TRIM($AA63)="fruits a coque")),"X",IF(OR(BQ63="?",OR(ISNUMBER(SEARCH(" sirop d orgeat ",$AA63)),ISNUMBER(SEARCH(" orgeat ",$AA63)),ISNUMBER(SEARCH(" amaretto ",$AA63)))),"?",""))),"")</f>
        <v/>
      </c>
      <c r="M63" s="233" t="str">
        <f>IF(63=63,IF($B63="","",IF(OR(OR(TRIM($AA63)="puree pate d amande",TRIM($AA63)="pate puree d amande",TRIM($AA63)="puree d amande",TRIM($AA63)="pate d amande",TRIM($AA63)="pate puree de noisette",TRIM($AA63)="puree pate de noisette",TRIM($AA63)="puree de noisette",TRIM($AA63)="pate de noisette"),OR(TRIM($AA63)="tahini puree de sesame",TRIM($AA63)="tahini",TRIM($AA63)="puree de sesame")),"",IF(BT63="X","X",IF(OR(BT63="?",ISNUMBER(SEARCH(" bloody mary ",$AA63))),"?","")))),"")</f>
        <v/>
      </c>
      <c r="N63" s="233" t="str">
        <f>IF(63=63,IF($B63="","",IF(OR(OR(TRIM($AA63)="puree pate d amande",TRIM($AA63)="pate puree d amande",TRIM($AA63)="puree d amande",TRIM($AA63)="pate d amande",TRIM($AA63)="pate puree de noisette",TRIM($AA63)="puree pate de noisette",TRIM($AA63)="puree de noisette",TRIM($AA63)="pate de noisette"),OR(TRIM($AA63)="tahini puree de sesame",TRIM($AA63)="tahini",TRIM($AA63)="puree de sesame")),"",IF(BW63="X","X",IF(OR(BW63="?",ISNUMBER(SEARCH(" bloody mary ",$AA63))),"?","")))),"")</f>
        <v/>
      </c>
      <c r="O63" s="233" t="str">
        <f>IF(63=63,IF($B63="","",BZ63),"")</f>
        <v/>
      </c>
      <c r="P63" s="233" t="str">
        <f>IF(63=63,IF($B63="","",CC63),"")</f>
        <v/>
      </c>
      <c r="Q63" s="233" t="str">
        <f>IF(63=63,IF($B63="","",CF63),"")</f>
        <v/>
      </c>
      <c r="R63" s="233" t="str">
        <f>IF(63=63,IF($B63="","",IF(TRIM($AA63)="fruits a coque","",IF(CL63="X","X",IF(OR(CL63="?",OR(ISNUMBER(SEARCH(" clamato ",$AA63)),ISNUMBER(SEARCH(" bloody caesar ",$AA63)))),"?","")))),"")</f>
        <v/>
      </c>
      <c r="S63" s="234" t="str">
        <f>IF(63=63,IF($B63="","",IF(E63="?",""&amp;"Céréales contenant du gluten","")&amp;IF(F63="?",IF(COUNTIF($E63:$E63,"~?")&gt;0,", ","")&amp;"Crustacés","")&amp;IF(G63="?",IF(COUNTIF($E63:$F63,"~?")&gt;0,", ","")&amp;"Œufs","")&amp;IF(H63="?",IF(COUNTIF($E63:$G63,"~?")&gt;0,", ","")&amp;"Poissons","")&amp;IF(I63="?",IF(COUNTIF($E63:$H63,"~?")&gt;0,", ","")&amp;"Arachides","")&amp;IF(J63="?",IF(COUNTIF($E63:$I63,"~?")&gt;0,", ","")&amp;"Soja","")&amp;IF(K63="?",IF(COUNTIF($E63:$J63,"~?")&gt;0,", ","")&amp;"Lait","")&amp;IF(L63="?",IF(COUNTIF($E63:$K63,"~?")&gt;0,", ","")&amp;"Fruits à coque","")&amp;IF(M63="?",IF(COUNTIF($E63:$L63,"~?")&gt;0,", ","")&amp;"Céleri","")&amp;IF(N63="?",IF(COUNTIF($E63:$M63,"~?")&gt;0,", ","")&amp;"Moutarde","")&amp;IF(O63="?",IF(COUNTIF($E63:$N63,"~?")&gt;0,", ","")&amp;"Sésame","")&amp;IF(P63="?",IF(COUNTIF($E63:$O63,"~?")&gt;0,", ","")&amp;"Sulfites","")&amp;IF(Q63="?",IF(COUNTIF($E63:$P63,"~?")&gt;0,", ","")&amp;"Lupin","")&amp;IF(R63="?",IF(COUNTIF($E63:$Q63,"~?")&gt;0,", ","")&amp;"Mollusques","")),"")</f>
        <v/>
      </c>
      <c r="U63" s="209" t="str">
        <f>IF(63=63,IF($B63="","",$B63),"")</f>
        <v/>
      </c>
      <c r="V63" s="209" t="str">
        <f>IF(63=63,LOWER(CLEAN(SUBSTITUTE(SUBSTITUTE(SUBSTITUTE(SUBSTITUTE($U63,CHAR(160)," ")," "," "),CHAR(10)," "),CHAR(13)," "))),"")</f>
        <v/>
      </c>
      <c r="W63" s="209" t="str">
        <f>IF(63=63,SUBSTITUTE(SUBSTITUTE(SUBSTITUTE(SUBSTITUTE(SUBSTITUTE(SUBSTITUTE(SUBSTITUTE(SUBSTITUTE(SUBSTITUTE(SUBSTITUTE(SUBSTITUTE(SUBSTITUTE($V63,"œ","oe"),"æ","ae"),"à","a"),"á","a"),"â","a"),"ä","a"),"ã","a"),"ç","c"),"è","e"),"é","e"),"ê","e"),"ë","e"),"")</f>
        <v/>
      </c>
      <c r="X63" s="209" t="str">
        <f>IF(63=63,SUBSTITUTE(SUBSTITUTE(SUBSTITUTE(SUBSTITUTE(SUBSTITUTE(SUBSTITUTE(SUBSTITUTE(SUBSTITUTE(SUBSTITUTE(SUBSTITUTE(SUBSTITUTE(SUBSTITUTE(SUBSTITUTE(SUBSTITUTE(SUBSTITUTE(SUBSTITUTE($W63,"ì","i"),"í","i"),"î","i"),"ï","i"),"ñ","n"),"ò","o"),"ó","o"),"ô","o"),"ö","o"),"õ","o"),"ù","u"),"ú","u"),"û","u"),"ü","u"),"ý","y"),"ÿ","y"),"")</f>
        <v/>
      </c>
      <c r="Y63" s="209" t="str">
        <f>IF(63=63,SUBSTITUTE(SUBSTITUTE(SUBSTITUTE(SUBSTITUTE(SUBSTITUTE(SUBSTITUTE(SUBSTITUTE(SUBSTITUTE(SUBSTITUTE(SUBSTITUTE(SUBSTITUTE(SUBSTITUTE(SUBSTITUTE(SUBSTITUTE($X63,"’"," "),"`"," "),"–"," "),"—"," "),"-"," "),"'"," "),"/"," "),"_"," "),","," "),"."," "),"("," "),")"," "),";"," "),":"," "),"")</f>
        <v/>
      </c>
      <c r="Z63" s="209" t="str">
        <f>IF(63=63,SUBSTITUTE(SUBSTITUTE(SUBSTITUTE(SUBSTITUTE(SUBSTITUTE(SUBSTITUTE(SUBSTITUTE(SUBSTITUTE(SUBSTITUTE(SUBSTITUTE(SUBSTITUTE(SUBSTITUTE(SUBSTITUTE(SUBSTITUTE(SUBSTITUTE($Y63,"!"," "),"?"," "),"+"," "),"*"," "),"&amp;"," "),"["," "),"]"," "),"{"," "),"}"," "),"%"," "),"="," "),"\"," "),"|"," "),"&lt;"," "),"&gt;"," "),"")</f>
        <v/>
      </c>
      <c r="AA63" s="209" t="str">
        <f>IF(63=63," "&amp;TRIM(SUBSTITUTE(SUBSTITUTE(SUBSTITUTE(SUBSTITUTE(SUBSTITUTE(SUBSTITUTE($Z63,CHAR(34)," "),"  "," "),"  "," "),"  "," "),"  "," "),"  "," "))&amp;" ","")</f>
        <v xml:space="preserve">  </v>
      </c>
      <c r="AB63" s="209" t="str">
        <f>IF(63=63,IF($U63="","",SUMPRODUCT(--ISNUMBER(SEARCH(" "&amp;$CR$2:$CR$101&amp;" ",$AD63)))),"")</f>
        <v/>
      </c>
      <c r="AC63" s="209" t="str">
        <f>IF(63=63,IF($U63="","",SUMPRODUCT(--ISNUMBER(SEARCH(" "&amp;$CR$102:$CR$151&amp;" ",$AD63)))),"")</f>
        <v/>
      </c>
      <c r="AD63" s="209" t="str">
        <f t="shared" si="1"/>
        <v/>
      </c>
      <c r="AE63" s="209" t="str">
        <f t="shared" si="2"/>
        <v/>
      </c>
      <c r="AF63" s="209" t="str">
        <f>IF(63=63,IF($U63="","",IF(SUM(AB63:AC63)+SUMPRODUCT(--ISNUMBER(SEARCH(" "&amp;$CR$2418:$CR$2420&amp;" ",$AD63)))&gt;0,"X",IF(AE63&gt;0,"?",""))),"")</f>
        <v/>
      </c>
      <c r="AG63" s="209" t="str">
        <f>IF(63=63,IF($U63="","",SUMPRODUCT(--ISNUMBER(SEARCH(" "&amp;$CR$206:$CR$305&amp;" ",$AA63)))),"")</f>
        <v/>
      </c>
      <c r="AH63" s="209" t="str">
        <f>IF(63=63,IF($U63="","",SUMPRODUCT(--ISNUMBER(SEARCH(" "&amp;$CR$306:$CR$340&amp;" ",$AA63)))),"")</f>
        <v/>
      </c>
      <c r="AI63" s="209" t="str">
        <f>IF(63=63,IF($U63="","",IF((SUM(AG63:AH63))-(0)&gt;0,"X",IF((0)-(0)&gt;0,"?",""))),"")</f>
        <v/>
      </c>
      <c r="AJ63" s="209" t="str">
        <f>IF(63=63,IF($U63="","",SUMPRODUCT(--ISNUMBER(SEARCH(" "&amp;$CR$341:$CR$398&amp;" ",$AA63)))),"")</f>
        <v/>
      </c>
      <c r="AK63" s="209" t="str">
        <f>IF(63=63,IF($U63="","",SUMPRODUCT(--ISNUMBER(SEARCH(" "&amp;$CR$399:$CR$426&amp;" ",$AL63)))+SUMPRODUCT(--ISNUMBER(SEARCH(" "&amp;$CR$2440:$CR$2453&amp;" ",$AL63)))),"")</f>
        <v/>
      </c>
      <c r="AL63" s="209" t="str">
        <f>IF(63=63,IF($U63="","",SUBSTITUTE(SUBSTITUTE(SUBSTITUTE(SUBSTITUTE(SUBSTITUTE(SUBSTITUTE(SUBSTITUTE(SUBSTITUTE(SUBSTITUTE(SUBSTITUTE(SUBSTITUTE(SUBSTITUTE(SUBSTITUTE(SUBSTITUTE($AA63,"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/>
      </c>
      <c r="AM63" s="209" t="str">
        <f>IF(63=63,IF($U63="","",IF(AJ63&gt;0,"X",IF(AK63&gt;0,"?",""))),"")</f>
        <v/>
      </c>
      <c r="AN63" s="209" t="str">
        <f>IF(63=63,IF($U63="","",SUMPRODUCT(--ISNUMBER(SEARCH(" "&amp;$CR$436:$CR$535&amp;" ",$AX63)))),"")</f>
        <v/>
      </c>
      <c r="AO63" s="209" t="str">
        <f>IF(63=63,IF($U63="","",SUMPRODUCT(--ISNUMBER(SEARCH(" "&amp;$CR$536:$CR$635&amp;" ",$AX63)))),"")</f>
        <v/>
      </c>
      <c r="AP63" s="209" t="str">
        <f>IF(63=63,IF($U63="","",SUMPRODUCT(--ISNUMBER(SEARCH(" "&amp;$CR$636:$CR$735&amp;" ",$AX63)))),"")</f>
        <v/>
      </c>
      <c r="AQ63" s="209" t="str">
        <f>IF(63=63,IF($U63="","",SUMPRODUCT(--ISNUMBER(SEARCH(" "&amp;$CR$736:$CR$835&amp;" ",$AX63)))),"")</f>
        <v/>
      </c>
      <c r="AR63" s="209" t="str">
        <f>IF(63=63,IF($U63="","",SUMPRODUCT(--ISNUMBER(SEARCH(" "&amp;$CR$836:$CR$935&amp;" ",$AX63)))),"")</f>
        <v/>
      </c>
      <c r="AS63" s="209" t="str">
        <f>IF(63=63,IF($U63="","",SUMPRODUCT(--ISNUMBER(SEARCH(" "&amp;$CR$936:$CR$1035&amp;" ",$AX63)))),"")</f>
        <v/>
      </c>
      <c r="AT63" s="209" t="str">
        <f>IF(63=63,IF($U63="","",SUMPRODUCT(--ISNUMBER(SEARCH(" "&amp;$CR$1036:$CR$1135&amp;" ",$AX63)))),"")</f>
        <v/>
      </c>
      <c r="AU63" s="209" t="str">
        <f>IF(63=63,IF($U63="","",SUMPRODUCT(--ISNUMBER(SEARCH(" "&amp;$CR$1136:$CR$1235&amp;" ",$AX63)))),"")</f>
        <v/>
      </c>
      <c r="AV63" s="209" t="str">
        <f>IF(63=63,IF($U63="","",SUMPRODUCT(--ISNUMBER(SEARCH(" "&amp;$CR$1236:$CR$1335&amp;" ",$AX63)))),"")</f>
        <v/>
      </c>
      <c r="AW63" s="209" t="str">
        <f>IF(63=63,IF($U63="","",SUMPRODUCT(--ISNUMBER(SEARCH(" "&amp;$CR$1336:$CR$1363&amp;" ",$AX63)))),"")</f>
        <v/>
      </c>
      <c r="AX63" s="209" t="str">
        <f>IF(63=63,IF($U63="","",SUBSTITUTE(SUBSTITUTE(SUBSTITUTE(SUBSTITUTE(SUBSTITUTE(SUBSTITUTE(SUBSTITUTE(SUBSTITUTE(SUBSTITUTE($AA63,"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/>
      </c>
      <c r="AY63" s="209" t="str">
        <f>IF(63=63,IF($U63="","",SUMPRODUCT(--ISNUMBER(SEARCH(" "&amp;$CR$1373:$CR$1383&amp;" ",$AX63)))),"")</f>
        <v/>
      </c>
      <c r="AZ63" s="209" t="str">
        <f>IF(63=63,IF($U63="","",IF(SUM(AN63:AW63)+SUMPRODUCT(--ISNUMBER(SEARCH(" "&amp;$CR$2421:$CR$2422&amp;" ",$AX63)))&gt;0,"X",IF(AY63&gt;0,"?",""))),"")</f>
        <v/>
      </c>
      <c r="BA63" s="209" t="str">
        <f>IF(63=63,IF($U63="","",SUMPRODUCT(--ISNUMBER(SEARCH(" "&amp;$CR$1384:$CR$1404&amp;" ",$AA63)))),"")</f>
        <v/>
      </c>
      <c r="BB63" s="209" t="str">
        <f>IF(63=63,IF($U63="","",IF((BA63)-(0)&gt;0,"X",IF((0)-(0)&gt;0,"?",""))),"")</f>
        <v/>
      </c>
      <c r="BC63" s="209" t="str">
        <f>IF(63=63,IF($U63="","",SUMPRODUCT(--ISNUMBER(SEARCH(" "&amp;$CR$1405:$CR$1442&amp;" ",$BD63)))),"")</f>
        <v/>
      </c>
      <c r="BD63" s="209" t="str">
        <f>IF(63=63,IF($U63="","",SUBSTITUTE(SUBSTITUTE($AA63," "&amp;$CR$1443&amp;" "," ")," "&amp;$CR$1444&amp;" "," ")),"")</f>
        <v/>
      </c>
      <c r="BE63" s="209" t="str">
        <f>IF(63=63,IF($U63="","",SUMPRODUCT(--ISNUMBER(SEARCH(" "&amp;$CR$1445:$CR$1455&amp;" ",$BD63)))),"")</f>
        <v/>
      </c>
      <c r="BF63" s="209" t="str">
        <f>IF(63=63,IF($U63="","",IF(BC63&gt;0,"X",IF(BE63&gt;0,"?",""))),"")</f>
        <v/>
      </c>
      <c r="BG63" s="209" t="str">
        <f>IF(63=63,IF($U63="","",SUMPRODUCT(--ISNUMBER(SEARCH(" "&amp;$CR$1456:$CR$1555&amp;" ",$BJ63)))),"")</f>
        <v/>
      </c>
      <c r="BH63" s="209" t="str">
        <f>IF(63=63,IF($U63="","",SUMPRODUCT(--ISNUMBER(SEARCH(" "&amp;$CR$1556:$CR$1655&amp;" ",$BJ63)))),"")</f>
        <v/>
      </c>
      <c r="BI63" s="209" t="str">
        <f>IF(63=63,IF($U63="","",SUMPRODUCT(--ISNUMBER(SEARCH(" "&amp;$CR$1656:$CR$1739&amp;" ",$BJ63)))),"")</f>
        <v/>
      </c>
      <c r="BJ63" s="209" t="str">
        <f>IF(63=63,IF($U63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63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/>
      </c>
      <c r="BK63" s="209" t="str">
        <f>IF(63=63,IF($U63="","",SUMPRODUCT(--ISNUMBER(SEARCH(" "&amp;$CR$1790:$CR$1869&amp;" ",$BL63)))+SUMPRODUCT(--ISNUMBER(SEARCH(" "&amp;$CR$2440:$CR$2453&amp;" ",$BL63)))),"")</f>
        <v/>
      </c>
      <c r="BL63" s="209" t="str">
        <f>IF(63=63,IF($U63="","",SUBSTITUTE(SUBSTITUTE(SUBSTITUTE(SUBSTITUTE(SUBSTITUTE(SUBSTITUTE(SUBSTITUTE(SUBSTITUTE(SUBSTITUTE(SUBSTITUTE(SUBSTITUTE(SUBSTITUTE(SUBSTITUTE($BJ63,"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/>
      </c>
      <c r="BM63" s="209" t="str">
        <f>IF(63=63,IF($U63="","",IF(SUM(BG63:BI63)+SUMPRODUCT(--ISNUMBER(SEARCH(" "&amp;$CR$2423:$CR$2424&amp;" ",$BJ63)))&gt;0,"X",IF(BK63&gt;0,"?",""))),"")</f>
        <v/>
      </c>
      <c r="BN63" s="209" t="str">
        <f>IF(63=63,IF($U63="","",SUMPRODUCT(--ISNUMBER(SEARCH(" "&amp;$CR$1879:$CR$1936&amp;" ",$BO63)))),"")</f>
        <v/>
      </c>
      <c r="BO63" s="209" t="str">
        <f>IF(63=63,IF($U63="","",SUBSTITUTE(SUBSTITUTE(SUBSTITUTE(SUBSTITUTE(SUBSTITUTE(SUBSTITUTE(SUBSTITUTE(SUBSTITUTE(SUBSTITUTE(SUBSTITUTE(SUBSTITUTE(SUBSTITUTE(SUBSTITUTE(SUBSTITUTE(SUBSTITUTE(SUBSTITUTE(SUBSTITUTE(SUBSTITUTE(SUBSTITUTE(SUBSTITUTE(SUBSTITUTE(SUBSTITUTE(SUBSTITUTE($AA63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/>
      </c>
      <c r="BP63" s="209" t="str">
        <f>IF(63=63,IF($U63="","",SUMPRODUCT(--ISNUMBER(SEARCH(" "&amp;$CR$1960:$CR$1976&amp;" ",$BO63)))),"")</f>
        <v/>
      </c>
      <c r="BQ63" s="209" t="str">
        <f>IF(63=63,IF($U63="","",IF(BN63&gt;0,"X",IF(BP63&gt;0,"?",""))),"")</f>
        <v/>
      </c>
      <c r="BR63" s="209" t="str">
        <f>IF(63=63,IF($U63="","",SUMPRODUCT(--ISNUMBER(SEARCH(" "&amp;$CR$1977:$CR$1990&amp;" ",$AA63)))),"")</f>
        <v/>
      </c>
      <c r="BS63" s="209" t="str">
        <f>IF(63=63,IF($U63="","",SUMPRODUCT(--ISNUMBER(SEARCH(" "&amp;$CR$1991:$CR$2005&amp;" ",$AA63)))),"")</f>
        <v/>
      </c>
      <c r="BT63" s="209" t="str">
        <f>IF(63=63,IF($U63="","",IF((BR63)-(0)&gt;0,"X",IF((BS63)-(0)&gt;0,"?",""))),"")</f>
        <v/>
      </c>
      <c r="BU63" s="209" t="str">
        <f>IF(63=63,IF($U63="","",SUMPRODUCT(--ISNUMBER(SEARCH(" "&amp;$CR$2006:$CR$2023&amp;" ",$AA63)))),"")</f>
        <v/>
      </c>
      <c r="BV63" s="209" t="str">
        <f>IF(63=63,IF($U63="","",SUMPRODUCT(--ISNUMBER(SEARCH(" "&amp;$CR$2024:$CR$2038&amp;" ",$AA63)))),"")</f>
        <v/>
      </c>
      <c r="BW63" s="209" t="str">
        <f>IF(63=63,IF($U63="","",IF((BU63)-(0)&gt;0,"X",IF((BV63)-(0)&gt;0,"?",""))),"")</f>
        <v/>
      </c>
      <c r="BX63" s="209" t="str">
        <f>IF(63=63,IF($U63="","",SUMPRODUCT(--ISNUMBER(SEARCH(" "&amp;$CR$2039:$CR$2057&amp;" ",$AA63)))),"")</f>
        <v/>
      </c>
      <c r="BY63" s="209" t="str">
        <f>IF(63=63,IF($U63="","",SUMPRODUCT(--ISNUMBER(SEARCH(" "&amp;$CR$2058:$CR$2072&amp;" ",$AA63)))),"")</f>
        <v/>
      </c>
      <c r="BZ63" s="209" t="str">
        <f>IF(63=63,IF($U63="","",IF((BX63)-(0)&gt;0,"X",IF((BY63)-(0)&gt;0,"?",""))),"")</f>
        <v/>
      </c>
      <c r="CA63" s="209" t="str">
        <f>IF(63=63,IF($U63="","",SUMPRODUCT(--ISNUMBER(SEARCH(" "&amp;$CR$2073:$CR$2093&amp;" ",$AA63)))),"")</f>
        <v/>
      </c>
      <c r="CB63" s="209" t="str">
        <f>IF(63=63,IF($U63="","",SUMPRODUCT(--ISNUMBER(SEARCH(" "&amp;$CR$2094:$CR$2133&amp;" ",SUBSTITUTE(SUBSTITUTE($AA63," "&amp;$CR$1367&amp;" "," ")," "&amp;$CR$1366&amp;" "," "))))+--ISNUMBER(SEARCH("poiré",$V63))),"")</f>
        <v/>
      </c>
      <c r="CC63" s="209" t="str">
        <f>IF(63=63,IF($U63="","",IF(OR(CA63&gt;0,ISNUMBER(SEARCH(" vinaigre de vin ",$AA63)),ISNUMBER(SEARCH(" vinaigre au vin ",$AA63))),"X",IF(CB63&gt;0,"?",""))),"")</f>
        <v/>
      </c>
      <c r="CD63" s="209" t="str">
        <f>IF(63=63,IF($U63="","",SUMPRODUCT(--ISNUMBER(SEARCH(" "&amp;$CR$2134:$CR$2146&amp;" ",$AA63)))),"")</f>
        <v/>
      </c>
      <c r="CE63" s="209" t="str">
        <f>IF(63=63,IF($U63="","",SUMPRODUCT(--ISNUMBER(SEARCH(" "&amp;$CR$2147:$CR$2152&amp;" ",$AA63)))),"")</f>
        <v/>
      </c>
      <c r="CF63" s="209" t="str">
        <f>IF(63=63,IF($U63="","",IF((CD63)-(0)&gt;0,"X",IF((CE63)-(0)&gt;0,"?",""))),"")</f>
        <v/>
      </c>
      <c r="CG63" s="209" t="str">
        <f>IF(63=63,IF($U63="","",SUMPRODUCT(--ISNUMBER(SEARCH(" "&amp;$CR$2153:$CR$2252&amp;" ",$CJ63)))),"")</f>
        <v/>
      </c>
      <c r="CH63" s="209" t="str">
        <f>IF(63=63,IF($U63="","",SUMPRODUCT(--ISNUMBER(SEARCH(" "&amp;$CR$2253:$CR$2352&amp;" ",$CJ63)))),"")</f>
        <v/>
      </c>
      <c r="CI63" s="209" t="str">
        <f>IF(63=63,IF($U63="","",SUMPRODUCT(--ISNUMBER(SEARCH(" "&amp;$CR$2353:$CR$2395&amp;" ",$CJ63)))),"")</f>
        <v/>
      </c>
      <c r="CJ63" s="209" t="str">
        <f>IF(63=63,IF($U63="","",SUBSTITUTE(SUBSTITUTE(SUBSTITUTE(SUBSTITUTE(SUBSTITUTE(SUBSTITUTE(SUBSTITUTE(SUBSTITUTE(SUBSTITUTE(SUBSTITUTE(SUBSTITUTE(SUBSTITUTE(SUBSTITUTE(SUBSTITUTE(SUBSTITUTE(SUBSTITUTE($AA63,"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/>
      </c>
      <c r="CK63" s="209" t="str">
        <f>IF(63=63,IF($U63="","",SUMPRODUCT(--ISNUMBER(SEARCH(" "&amp;$CR$2412:$CR$2416&amp;" ",$CJ63)))),"")</f>
        <v/>
      </c>
      <c r="CL63" s="209" t="str">
        <f>IF(63=63,IF($U63="","",IF(SUM(CG63:CI63)&gt;0,"X",IF(CK63&gt;0,"?",""))),"")</f>
        <v/>
      </c>
      <c r="CM63" s="210"/>
      <c r="CN63" s="213" t="s">
        <v>1108</v>
      </c>
      <c r="CO63" s="213" t="s">
        <v>878</v>
      </c>
      <c r="CP63" s="213" t="s">
        <v>879</v>
      </c>
      <c r="CQ63" s="213" t="s">
        <v>1109</v>
      </c>
      <c r="CR63" s="213" t="s">
        <v>1109</v>
      </c>
      <c r="CS63" s="213" t="s">
        <v>881</v>
      </c>
      <c r="CT63" s="213" t="s">
        <v>882</v>
      </c>
      <c r="CU63" s="213" t="s">
        <v>883</v>
      </c>
      <c r="CV63" s="214" t="s">
        <v>884</v>
      </c>
      <c r="CX63" s="212">
        <v>1</v>
      </c>
    </row>
    <row r="64" spans="1:102" ht="21" customHeight="1">
      <c r="A64" s="229">
        <v>58</v>
      </c>
      <c r="B64" s="230"/>
      <c r="C64" s="231" t="str">
        <f t="shared" si="0"/>
        <v/>
      </c>
      <c r="D64" s="232" t="str">
        <f>IF(64=64,IF($B64="","",IF(E64="X",""&amp;"Céréales contenant du gluten","")&amp;IF(F64="X",IF(COUNTIF($E64:$E64,"X")&gt;0,", ","")&amp;"Crustacés","")&amp;IF(G64="X",IF(COUNTIF($E64:$F64,"X")&gt;0,", ","")&amp;"Œufs","")&amp;IF(H64="X",IF(COUNTIF($E64:$G64,"X")&gt;0,", ","")&amp;"Poissons","")&amp;IF(I64="X",IF(COUNTIF($E64:$H64,"X")&gt;0,", ","")&amp;"Arachides","")&amp;IF(J64="X",IF(COUNTIF($E64:$I64,"X")&gt;0,", ","")&amp;"Soja","")&amp;IF(K64="X",IF(COUNTIF($E64:$J64,"X")&gt;0,", ","")&amp;"Lait","")&amp;IF(L64="X",IF(COUNTIF($E64:$K64,"X")&gt;0,", ","")&amp;"Fruits à coque","")&amp;IF(M64="X",IF(COUNTIF($E64:$L64,"X")&gt;0,", ","")&amp;"Céleri","")&amp;IF(N64="X",IF(COUNTIF($E64:$M64,"X")&gt;0,", ","")&amp;"Moutarde","")&amp;IF(O64="X",IF(COUNTIF($E64:$N64,"X")&gt;0,", ","")&amp;"Sésame","")&amp;IF(P64="X",IF(COUNTIF($E64:$O64,"X")&gt;0,", ","")&amp;"Sulfites","")&amp;IF(Q64="X",IF(COUNTIF($E64:$P64,"X")&gt;0,", ","")&amp;"Lupin","")&amp;IF(R64="X",IF(COUNTIF($E64:$Q64,"X")&gt;0,", ","")&amp;"Mollusques","")),"")</f>
        <v/>
      </c>
      <c r="E64" s="233" t="str">
        <f>IF(64=64,IF($B64="","",IF(OR(ISNUMBER(SEARCH(" biere sans gluten ",$AA64)),ISNUMBER(SEARCH(" gluten free beer ",$AA64)),ISNUMBER(SEARCH(" beer gluten free ",$AA64))),"",IF(AF64="X","X",IF(OR(AF64="?",OR(ISNUMBER(SEARCH(" worcestershire ",$AA64)),ISNUMBER(SEARCH(" bloody mary ",$AA64)))),"?","")))),"")</f>
        <v/>
      </c>
      <c r="F64" s="233" t="str">
        <f>IF(64=64,IF($B64="","",AI64),"")</f>
        <v/>
      </c>
      <c r="G64" s="233" t="str">
        <f>IF(64=64,IF($B64="","",IF(OR(TRIM($AA64)="puree pate d amande",TRIM($AA64)="pate puree d amande",TRIM($AA64)="puree d amande",TRIM($AA64)="pate d amande",TRIM($AA64)="pate puree de noisette",TRIM($AA64)="puree pate de noisette",TRIM($AA64)="puree de noisette",TRIM($AA64)="pate de noisette"),"",IF(OR(AM64="X",OR(ISNUMBER(SEARCH(" macaron ",$AA64)),ISNUMBER(SEARCH(" egg nog ",$AA64)),ISNUMBER(SEARCH(" eggnog ",$AA64)))),"X",IF(OR(AM64="?",OR(ISNUMBER(SEARCH(" biscuit decoratif ",$AA64)),ISNUMBER(SEARCH(" whisky sour ",$AA64)),ISNUMBER(SEARCH(" whiskey sour ",$AA64)),ISNUMBER(SEARCH(" amaretto sour ",$AA64)),ISNUMBER(SEARCH(" pisco sour ",$AA64)),ISNUMBER(SEARCH(" clover club ",$AA64)),ISNUMBER(SEARCH(" ramos gin fizz ",$AA64)))),"?","")))),"")</f>
        <v/>
      </c>
      <c r="H64" s="233" t="str">
        <f>IF(64=64,IF($B64="","",IF(ISNUMBER(SEARCH(" colin ",$AA64)),"X",IF(AZ64="X","X",IF(OR(AZ64="?",OR(ISNUMBER(SEARCH(" worcestershire ",$AA64)),ISNUMBER(SEARCH(" bloody mary ",$AA64)))),"?","")))),"")</f>
        <v/>
      </c>
      <c r="I64" s="233" t="str">
        <f>IF(64=64,IF($B64="","",BB64),"")</f>
        <v/>
      </c>
      <c r="J64" s="233" t="str">
        <f>IF(64=64,IF($B64="","",BF64),"")</f>
        <v/>
      </c>
      <c r="K64" s="233" t="str">
        <f>IF(64=64,IF($B64="","",IF(OR(OR(TRIM($AA64)="puree pate d amande",TRIM($AA64)="pate puree d amande",TRIM($AA64)="puree d amande",TRIM($AA64)="pate d amande",TRIM($AA64)="pate puree de noisette",TRIM($AA64)="puree pate de noisette",TRIM($AA64)="puree de noisette",TRIM($AA64)="pate de noisette"),OR(TRIM($AA64)="beurre puree d arachide",TRIM($AA64)="beurre d arachide",TRIM($AA64)="puree d arachide"),OR(TRIM($AA64)="tahini puree de sesame",TRIM($AA64)="tahini",TRIM($AA64)="puree de sesame")),"",IF(OR(TRIM($AA64)="creme de cassis",TRIM($AA64)="creme de menthe",TRIM($AA64)="creme de cacao",TRIM($AA64)="creme de mure",TRIM($AA64)="creme de framboise",TRIM($AA64)="creme de peche",TRIM($AA64)="creme de banane",TRIM($AA64)="liqueur creme de coco",TRIM($AA64)="creme de coco",TRIM($AA64)="spiritueux aromatise arrange creme de spiritueux"),"?",IF(OR(BM64="X",OR(ISNUMBER(SEARCH(" baileys ",$AA64)),ISNUMBER(SEARCH(" irish cream ",$AA64)),ISNUMBER(SEARCH(" creme de whisky ",$AA64)))),"X",IF(OR(BM64="?",OR(OR(TRIM($AA64)="creme de cassis",TRIM($AA64)="creme de menthe",TRIM($AA64)="creme de cacao",TRIM($AA64)="creme de mure",TRIM($AA64)="creme de framboise",TRIM($AA64)="creme de peche",TRIM($AA64)="creme de banane",TRIM($AA64)="liqueur creme de coco",TRIM($AA64)="creme de coco",TRIM($AA64)="spiritueux aromatise arrange creme de spiritueux"),ISNUMBER(SEARCH(" advocaat ",$AA64)),ISNUMBER(SEARCH(" liqueur aux oeufs ",$AA64)),ISNUMBER(SEARCH(" liqueur de chocolat ",$AA64)),ISNUMBER(SEARCH(" liqueur de caramel ",$AA64)),ISNUMBER(SEARCH(" sauce nappage chocolat ",$AA64)),ISNUMBER(SEARCH(" biscuit decoratif ",$AA64)),ISNUMBER(SEARCH(" white russian ",$AA64)),ISNUMBER(SEARCH(" grasshopper ",$AA64)),ISNUMBER(SEARCH(" irish coffee ",$AA64)),ISNUMBER(SEARCH(" ramos gin fizz ",$AA64)),ISNUMBER(SEARCH(" egg nog ",$AA64)),ISNUMBER(SEARCH(" eggnog ",$AA64)))),"?",""))))),"")</f>
        <v/>
      </c>
      <c r="L64" s="233" t="str">
        <f>IF(64=64,IF($B64="","",IF(OR(BQ64="X",OR(OR(TRIM($AA64)="puree pate d amande",TRIM($AA64)="pate puree d amande",TRIM($AA64)="puree d amande",TRIM($AA64)="pate d amande",TRIM($AA64)="pate puree de noisette",TRIM($AA64)="puree pate de noisette",TRIM($AA64)="puree de noisette",TRIM($AA64)="pate de noisette"),ISNUMBER(SEARCH(" macaron ",$AA64)),TRIM($AA64)="fruits a coque")),"X",IF(OR(BQ64="?",OR(ISNUMBER(SEARCH(" sirop d orgeat ",$AA64)),ISNUMBER(SEARCH(" orgeat ",$AA64)),ISNUMBER(SEARCH(" amaretto ",$AA64)))),"?",""))),"")</f>
        <v/>
      </c>
      <c r="M64" s="233" t="str">
        <f>IF(64=64,IF($B64="","",IF(OR(OR(TRIM($AA64)="puree pate d amande",TRIM($AA64)="pate puree d amande",TRIM($AA64)="puree d amande",TRIM($AA64)="pate d amande",TRIM($AA64)="pate puree de noisette",TRIM($AA64)="puree pate de noisette",TRIM($AA64)="puree de noisette",TRIM($AA64)="pate de noisette"),OR(TRIM($AA64)="tahini puree de sesame",TRIM($AA64)="tahini",TRIM($AA64)="puree de sesame")),"",IF(BT64="X","X",IF(OR(BT64="?",ISNUMBER(SEARCH(" bloody mary ",$AA64))),"?","")))),"")</f>
        <v/>
      </c>
      <c r="N64" s="233" t="str">
        <f>IF(64=64,IF($B64="","",IF(OR(OR(TRIM($AA64)="puree pate d amande",TRIM($AA64)="pate puree d amande",TRIM($AA64)="puree d amande",TRIM($AA64)="pate d amande",TRIM($AA64)="pate puree de noisette",TRIM($AA64)="puree pate de noisette",TRIM($AA64)="puree de noisette",TRIM($AA64)="pate de noisette"),OR(TRIM($AA64)="tahini puree de sesame",TRIM($AA64)="tahini",TRIM($AA64)="puree de sesame")),"",IF(BW64="X","X",IF(OR(BW64="?",ISNUMBER(SEARCH(" bloody mary ",$AA64))),"?","")))),"")</f>
        <v/>
      </c>
      <c r="O64" s="233" t="str">
        <f>IF(64=64,IF($B64="","",BZ64),"")</f>
        <v/>
      </c>
      <c r="P64" s="233" t="str">
        <f>IF(64=64,IF($B64="","",CC64),"")</f>
        <v/>
      </c>
      <c r="Q64" s="233" t="str">
        <f>IF(64=64,IF($B64="","",CF64),"")</f>
        <v/>
      </c>
      <c r="R64" s="233" t="str">
        <f>IF(64=64,IF($B64="","",IF(TRIM($AA64)="fruits a coque","",IF(CL64="X","X",IF(OR(CL64="?",OR(ISNUMBER(SEARCH(" clamato ",$AA64)),ISNUMBER(SEARCH(" bloody caesar ",$AA64)))),"?","")))),"")</f>
        <v/>
      </c>
      <c r="S64" s="234" t="str">
        <f>IF(64=64,IF($B64="","",IF(E64="?",""&amp;"Céréales contenant du gluten","")&amp;IF(F64="?",IF(COUNTIF($E64:$E64,"~?")&gt;0,", ","")&amp;"Crustacés","")&amp;IF(G64="?",IF(COUNTIF($E64:$F64,"~?")&gt;0,", ","")&amp;"Œufs","")&amp;IF(H64="?",IF(COUNTIF($E64:$G64,"~?")&gt;0,", ","")&amp;"Poissons","")&amp;IF(I64="?",IF(COUNTIF($E64:$H64,"~?")&gt;0,", ","")&amp;"Arachides","")&amp;IF(J64="?",IF(COUNTIF($E64:$I64,"~?")&gt;0,", ","")&amp;"Soja","")&amp;IF(K64="?",IF(COUNTIF($E64:$J64,"~?")&gt;0,", ","")&amp;"Lait","")&amp;IF(L64="?",IF(COUNTIF($E64:$K64,"~?")&gt;0,", ","")&amp;"Fruits à coque","")&amp;IF(M64="?",IF(COUNTIF($E64:$L64,"~?")&gt;0,", ","")&amp;"Céleri","")&amp;IF(N64="?",IF(COUNTIF($E64:$M64,"~?")&gt;0,", ","")&amp;"Moutarde","")&amp;IF(O64="?",IF(COUNTIF($E64:$N64,"~?")&gt;0,", ","")&amp;"Sésame","")&amp;IF(P64="?",IF(COUNTIF($E64:$O64,"~?")&gt;0,", ","")&amp;"Sulfites","")&amp;IF(Q64="?",IF(COUNTIF($E64:$P64,"~?")&gt;0,", ","")&amp;"Lupin","")&amp;IF(R64="?",IF(COUNTIF($E64:$Q64,"~?")&gt;0,", ","")&amp;"Mollusques","")),"")</f>
        <v/>
      </c>
      <c r="U64" s="209" t="str">
        <f>IF(64=64,IF($B64="","",$B64),"")</f>
        <v/>
      </c>
      <c r="V64" s="209" t="str">
        <f>IF(64=64,LOWER(CLEAN(SUBSTITUTE(SUBSTITUTE(SUBSTITUTE(SUBSTITUTE($U64,CHAR(160)," ")," "," "),CHAR(10)," "),CHAR(13)," "))),"")</f>
        <v/>
      </c>
      <c r="W64" s="209" t="str">
        <f>IF(64=64,SUBSTITUTE(SUBSTITUTE(SUBSTITUTE(SUBSTITUTE(SUBSTITUTE(SUBSTITUTE(SUBSTITUTE(SUBSTITUTE(SUBSTITUTE(SUBSTITUTE(SUBSTITUTE(SUBSTITUTE($V64,"œ","oe"),"æ","ae"),"à","a"),"á","a"),"â","a"),"ä","a"),"ã","a"),"ç","c"),"è","e"),"é","e"),"ê","e"),"ë","e"),"")</f>
        <v/>
      </c>
      <c r="X64" s="209" t="str">
        <f>IF(64=64,SUBSTITUTE(SUBSTITUTE(SUBSTITUTE(SUBSTITUTE(SUBSTITUTE(SUBSTITUTE(SUBSTITUTE(SUBSTITUTE(SUBSTITUTE(SUBSTITUTE(SUBSTITUTE(SUBSTITUTE(SUBSTITUTE(SUBSTITUTE(SUBSTITUTE(SUBSTITUTE($W64,"ì","i"),"í","i"),"î","i"),"ï","i"),"ñ","n"),"ò","o"),"ó","o"),"ô","o"),"ö","o"),"õ","o"),"ù","u"),"ú","u"),"û","u"),"ü","u"),"ý","y"),"ÿ","y"),"")</f>
        <v/>
      </c>
      <c r="Y64" s="209" t="str">
        <f>IF(64=64,SUBSTITUTE(SUBSTITUTE(SUBSTITUTE(SUBSTITUTE(SUBSTITUTE(SUBSTITUTE(SUBSTITUTE(SUBSTITUTE(SUBSTITUTE(SUBSTITUTE(SUBSTITUTE(SUBSTITUTE(SUBSTITUTE(SUBSTITUTE($X64,"’"," "),"`"," "),"–"," "),"—"," "),"-"," "),"'"," "),"/"," "),"_"," "),","," "),"."," "),"("," "),")"," "),";"," "),":"," "),"")</f>
        <v/>
      </c>
      <c r="Z64" s="209" t="str">
        <f>IF(64=64,SUBSTITUTE(SUBSTITUTE(SUBSTITUTE(SUBSTITUTE(SUBSTITUTE(SUBSTITUTE(SUBSTITUTE(SUBSTITUTE(SUBSTITUTE(SUBSTITUTE(SUBSTITUTE(SUBSTITUTE(SUBSTITUTE(SUBSTITUTE(SUBSTITUTE($Y64,"!"," "),"?"," "),"+"," "),"*"," "),"&amp;"," "),"["," "),"]"," "),"{"," "),"}"," "),"%"," "),"="," "),"\"," "),"|"," "),"&lt;"," "),"&gt;"," "),"")</f>
        <v/>
      </c>
      <c r="AA64" s="209" t="str">
        <f>IF(64=64," "&amp;TRIM(SUBSTITUTE(SUBSTITUTE(SUBSTITUTE(SUBSTITUTE(SUBSTITUTE(SUBSTITUTE($Z64,CHAR(34)," "),"  "," "),"  "," "),"  "," "),"  "," "),"  "," "))&amp;" ","")</f>
        <v xml:space="preserve">  </v>
      </c>
      <c r="AB64" s="209" t="str">
        <f>IF(64=64,IF($U64="","",SUMPRODUCT(--ISNUMBER(SEARCH(" "&amp;$CR$2:$CR$101&amp;" ",$AD64)))),"")</f>
        <v/>
      </c>
      <c r="AC64" s="209" t="str">
        <f>IF(64=64,IF($U64="","",SUMPRODUCT(--ISNUMBER(SEARCH(" "&amp;$CR$102:$CR$151&amp;" ",$AD64)))),"")</f>
        <v/>
      </c>
      <c r="AD64" s="209" t="str">
        <f t="shared" si="1"/>
        <v/>
      </c>
      <c r="AE64" s="209" t="str">
        <f t="shared" si="2"/>
        <v/>
      </c>
      <c r="AF64" s="209" t="str">
        <f>IF(64=64,IF($U64="","",IF(SUM(AB64:AC64)+SUMPRODUCT(--ISNUMBER(SEARCH(" "&amp;$CR$2418:$CR$2420&amp;" ",$AD64)))&gt;0,"X",IF(AE64&gt;0,"?",""))),"")</f>
        <v/>
      </c>
      <c r="AG64" s="209" t="str">
        <f>IF(64=64,IF($U64="","",SUMPRODUCT(--ISNUMBER(SEARCH(" "&amp;$CR$206:$CR$305&amp;" ",$AA64)))),"")</f>
        <v/>
      </c>
      <c r="AH64" s="209" t="str">
        <f>IF(64=64,IF($U64="","",SUMPRODUCT(--ISNUMBER(SEARCH(" "&amp;$CR$306:$CR$340&amp;" ",$AA64)))),"")</f>
        <v/>
      </c>
      <c r="AI64" s="209" t="str">
        <f>IF(64=64,IF($U64="","",IF((SUM(AG64:AH64))-(0)&gt;0,"X",IF((0)-(0)&gt;0,"?",""))),"")</f>
        <v/>
      </c>
      <c r="AJ64" s="209" t="str">
        <f>IF(64=64,IF($U64="","",SUMPRODUCT(--ISNUMBER(SEARCH(" "&amp;$CR$341:$CR$398&amp;" ",$AA64)))),"")</f>
        <v/>
      </c>
      <c r="AK64" s="209" t="str">
        <f>IF(64=64,IF($U64="","",SUMPRODUCT(--ISNUMBER(SEARCH(" "&amp;$CR$399:$CR$426&amp;" ",$AL64)))+SUMPRODUCT(--ISNUMBER(SEARCH(" "&amp;$CR$2440:$CR$2453&amp;" ",$AL64)))),"")</f>
        <v/>
      </c>
      <c r="AL64" s="209" t="str">
        <f>IF(64=64,IF($U64="","",SUBSTITUTE(SUBSTITUTE(SUBSTITUTE(SUBSTITUTE(SUBSTITUTE(SUBSTITUTE(SUBSTITUTE(SUBSTITUTE(SUBSTITUTE(SUBSTITUTE(SUBSTITUTE(SUBSTITUTE(SUBSTITUTE(SUBSTITUTE($AA64,"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/>
      </c>
      <c r="AM64" s="209" t="str">
        <f>IF(64=64,IF($U64="","",IF(AJ64&gt;0,"X",IF(AK64&gt;0,"?",""))),"")</f>
        <v/>
      </c>
      <c r="AN64" s="209" t="str">
        <f>IF(64=64,IF($U64="","",SUMPRODUCT(--ISNUMBER(SEARCH(" "&amp;$CR$436:$CR$535&amp;" ",$AX64)))),"")</f>
        <v/>
      </c>
      <c r="AO64" s="209" t="str">
        <f>IF(64=64,IF($U64="","",SUMPRODUCT(--ISNUMBER(SEARCH(" "&amp;$CR$536:$CR$635&amp;" ",$AX64)))),"")</f>
        <v/>
      </c>
      <c r="AP64" s="209" t="str">
        <f>IF(64=64,IF($U64="","",SUMPRODUCT(--ISNUMBER(SEARCH(" "&amp;$CR$636:$CR$735&amp;" ",$AX64)))),"")</f>
        <v/>
      </c>
      <c r="AQ64" s="209" t="str">
        <f>IF(64=64,IF($U64="","",SUMPRODUCT(--ISNUMBER(SEARCH(" "&amp;$CR$736:$CR$835&amp;" ",$AX64)))),"")</f>
        <v/>
      </c>
      <c r="AR64" s="209" t="str">
        <f>IF(64=64,IF($U64="","",SUMPRODUCT(--ISNUMBER(SEARCH(" "&amp;$CR$836:$CR$935&amp;" ",$AX64)))),"")</f>
        <v/>
      </c>
      <c r="AS64" s="209" t="str">
        <f>IF(64=64,IF($U64="","",SUMPRODUCT(--ISNUMBER(SEARCH(" "&amp;$CR$936:$CR$1035&amp;" ",$AX64)))),"")</f>
        <v/>
      </c>
      <c r="AT64" s="209" t="str">
        <f>IF(64=64,IF($U64="","",SUMPRODUCT(--ISNUMBER(SEARCH(" "&amp;$CR$1036:$CR$1135&amp;" ",$AX64)))),"")</f>
        <v/>
      </c>
      <c r="AU64" s="209" t="str">
        <f>IF(64=64,IF($U64="","",SUMPRODUCT(--ISNUMBER(SEARCH(" "&amp;$CR$1136:$CR$1235&amp;" ",$AX64)))),"")</f>
        <v/>
      </c>
      <c r="AV64" s="209" t="str">
        <f>IF(64=64,IF($U64="","",SUMPRODUCT(--ISNUMBER(SEARCH(" "&amp;$CR$1236:$CR$1335&amp;" ",$AX64)))),"")</f>
        <v/>
      </c>
      <c r="AW64" s="209" t="str">
        <f>IF(64=64,IF($U64="","",SUMPRODUCT(--ISNUMBER(SEARCH(" "&amp;$CR$1336:$CR$1363&amp;" ",$AX64)))),"")</f>
        <v/>
      </c>
      <c r="AX64" s="209" t="str">
        <f>IF(64=64,IF($U64="","",SUBSTITUTE(SUBSTITUTE(SUBSTITUTE(SUBSTITUTE(SUBSTITUTE(SUBSTITUTE(SUBSTITUTE(SUBSTITUTE(SUBSTITUTE($AA64,"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/>
      </c>
      <c r="AY64" s="209" t="str">
        <f>IF(64=64,IF($U64="","",SUMPRODUCT(--ISNUMBER(SEARCH(" "&amp;$CR$1373:$CR$1383&amp;" ",$AX64)))),"")</f>
        <v/>
      </c>
      <c r="AZ64" s="209" t="str">
        <f>IF(64=64,IF($U64="","",IF(SUM(AN64:AW64)+SUMPRODUCT(--ISNUMBER(SEARCH(" "&amp;$CR$2421:$CR$2422&amp;" ",$AX64)))&gt;0,"X",IF(AY64&gt;0,"?",""))),"")</f>
        <v/>
      </c>
      <c r="BA64" s="209" t="str">
        <f>IF(64=64,IF($U64="","",SUMPRODUCT(--ISNUMBER(SEARCH(" "&amp;$CR$1384:$CR$1404&amp;" ",$AA64)))),"")</f>
        <v/>
      </c>
      <c r="BB64" s="209" t="str">
        <f>IF(64=64,IF($U64="","",IF((BA64)-(0)&gt;0,"X",IF((0)-(0)&gt;0,"?",""))),"")</f>
        <v/>
      </c>
      <c r="BC64" s="209" t="str">
        <f>IF(64=64,IF($U64="","",SUMPRODUCT(--ISNUMBER(SEARCH(" "&amp;$CR$1405:$CR$1442&amp;" ",$BD64)))),"")</f>
        <v/>
      </c>
      <c r="BD64" s="209" t="str">
        <f>IF(64=64,IF($U64="","",SUBSTITUTE(SUBSTITUTE($AA64," "&amp;$CR$1443&amp;" "," ")," "&amp;$CR$1444&amp;" "," ")),"")</f>
        <v/>
      </c>
      <c r="BE64" s="209" t="str">
        <f>IF(64=64,IF($U64="","",SUMPRODUCT(--ISNUMBER(SEARCH(" "&amp;$CR$1445:$CR$1455&amp;" ",$BD64)))),"")</f>
        <v/>
      </c>
      <c r="BF64" s="209" t="str">
        <f>IF(64=64,IF($U64="","",IF(BC64&gt;0,"X",IF(BE64&gt;0,"?",""))),"")</f>
        <v/>
      </c>
      <c r="BG64" s="209" t="str">
        <f>IF(64=64,IF($U64="","",SUMPRODUCT(--ISNUMBER(SEARCH(" "&amp;$CR$1456:$CR$1555&amp;" ",$BJ64)))),"")</f>
        <v/>
      </c>
      <c r="BH64" s="209" t="str">
        <f>IF(64=64,IF($U64="","",SUMPRODUCT(--ISNUMBER(SEARCH(" "&amp;$CR$1556:$CR$1655&amp;" ",$BJ64)))),"")</f>
        <v/>
      </c>
      <c r="BI64" s="209" t="str">
        <f>IF(64=64,IF($U64="","",SUMPRODUCT(--ISNUMBER(SEARCH(" "&amp;$CR$1656:$CR$1739&amp;" ",$BJ64)))),"")</f>
        <v/>
      </c>
      <c r="BJ64" s="209" t="str">
        <f>IF(64=64,IF($U64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64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/>
      </c>
      <c r="BK64" s="209" t="str">
        <f>IF(64=64,IF($U64="","",SUMPRODUCT(--ISNUMBER(SEARCH(" "&amp;$CR$1790:$CR$1869&amp;" ",$BL64)))+SUMPRODUCT(--ISNUMBER(SEARCH(" "&amp;$CR$2440:$CR$2453&amp;" ",$BL64)))),"")</f>
        <v/>
      </c>
      <c r="BL64" s="209" t="str">
        <f>IF(64=64,IF($U64="","",SUBSTITUTE(SUBSTITUTE(SUBSTITUTE(SUBSTITUTE(SUBSTITUTE(SUBSTITUTE(SUBSTITUTE(SUBSTITUTE(SUBSTITUTE(SUBSTITUTE(SUBSTITUTE(SUBSTITUTE(SUBSTITUTE($BJ64,"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/>
      </c>
      <c r="BM64" s="209" t="str">
        <f>IF(64=64,IF($U64="","",IF(SUM(BG64:BI64)+SUMPRODUCT(--ISNUMBER(SEARCH(" "&amp;$CR$2423:$CR$2424&amp;" ",$BJ64)))&gt;0,"X",IF(BK64&gt;0,"?",""))),"")</f>
        <v/>
      </c>
      <c r="BN64" s="209" t="str">
        <f>IF(64=64,IF($U64="","",SUMPRODUCT(--ISNUMBER(SEARCH(" "&amp;$CR$1879:$CR$1936&amp;" ",$BO64)))),"")</f>
        <v/>
      </c>
      <c r="BO64" s="209" t="str">
        <f>IF(64=64,IF($U64="","",SUBSTITUTE(SUBSTITUTE(SUBSTITUTE(SUBSTITUTE(SUBSTITUTE(SUBSTITUTE(SUBSTITUTE(SUBSTITUTE(SUBSTITUTE(SUBSTITUTE(SUBSTITUTE(SUBSTITUTE(SUBSTITUTE(SUBSTITUTE(SUBSTITUTE(SUBSTITUTE(SUBSTITUTE(SUBSTITUTE(SUBSTITUTE(SUBSTITUTE(SUBSTITUTE(SUBSTITUTE(SUBSTITUTE($AA64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/>
      </c>
      <c r="BP64" s="209" t="str">
        <f>IF(64=64,IF($U64="","",SUMPRODUCT(--ISNUMBER(SEARCH(" "&amp;$CR$1960:$CR$1976&amp;" ",$BO64)))),"")</f>
        <v/>
      </c>
      <c r="BQ64" s="209" t="str">
        <f>IF(64=64,IF($U64="","",IF(BN64&gt;0,"X",IF(BP64&gt;0,"?",""))),"")</f>
        <v/>
      </c>
      <c r="BR64" s="209" t="str">
        <f>IF(64=64,IF($U64="","",SUMPRODUCT(--ISNUMBER(SEARCH(" "&amp;$CR$1977:$CR$1990&amp;" ",$AA64)))),"")</f>
        <v/>
      </c>
      <c r="BS64" s="209" t="str">
        <f>IF(64=64,IF($U64="","",SUMPRODUCT(--ISNUMBER(SEARCH(" "&amp;$CR$1991:$CR$2005&amp;" ",$AA64)))),"")</f>
        <v/>
      </c>
      <c r="BT64" s="209" t="str">
        <f>IF(64=64,IF($U64="","",IF((BR64)-(0)&gt;0,"X",IF((BS64)-(0)&gt;0,"?",""))),"")</f>
        <v/>
      </c>
      <c r="BU64" s="209" t="str">
        <f>IF(64=64,IF($U64="","",SUMPRODUCT(--ISNUMBER(SEARCH(" "&amp;$CR$2006:$CR$2023&amp;" ",$AA64)))),"")</f>
        <v/>
      </c>
      <c r="BV64" s="209" t="str">
        <f>IF(64=64,IF($U64="","",SUMPRODUCT(--ISNUMBER(SEARCH(" "&amp;$CR$2024:$CR$2038&amp;" ",$AA64)))),"")</f>
        <v/>
      </c>
      <c r="BW64" s="209" t="str">
        <f>IF(64=64,IF($U64="","",IF((BU64)-(0)&gt;0,"X",IF((BV64)-(0)&gt;0,"?",""))),"")</f>
        <v/>
      </c>
      <c r="BX64" s="209" t="str">
        <f>IF(64=64,IF($U64="","",SUMPRODUCT(--ISNUMBER(SEARCH(" "&amp;$CR$2039:$CR$2057&amp;" ",$AA64)))),"")</f>
        <v/>
      </c>
      <c r="BY64" s="209" t="str">
        <f>IF(64=64,IF($U64="","",SUMPRODUCT(--ISNUMBER(SEARCH(" "&amp;$CR$2058:$CR$2072&amp;" ",$AA64)))),"")</f>
        <v/>
      </c>
      <c r="BZ64" s="209" t="str">
        <f>IF(64=64,IF($U64="","",IF((BX64)-(0)&gt;0,"X",IF((BY64)-(0)&gt;0,"?",""))),"")</f>
        <v/>
      </c>
      <c r="CA64" s="209" t="str">
        <f>IF(64=64,IF($U64="","",SUMPRODUCT(--ISNUMBER(SEARCH(" "&amp;$CR$2073:$CR$2093&amp;" ",$AA64)))),"")</f>
        <v/>
      </c>
      <c r="CB64" s="209" t="str">
        <f>IF(64=64,IF($U64="","",SUMPRODUCT(--ISNUMBER(SEARCH(" "&amp;$CR$2094:$CR$2133&amp;" ",SUBSTITUTE(SUBSTITUTE($AA64," "&amp;$CR$1367&amp;" "," ")," "&amp;$CR$1366&amp;" "," "))))+--ISNUMBER(SEARCH("poiré",$V64))),"")</f>
        <v/>
      </c>
      <c r="CC64" s="209" t="str">
        <f>IF(64=64,IF($U64="","",IF(OR(CA64&gt;0,ISNUMBER(SEARCH(" vinaigre de vin ",$AA64)),ISNUMBER(SEARCH(" vinaigre au vin ",$AA64))),"X",IF(CB64&gt;0,"?",""))),"")</f>
        <v/>
      </c>
      <c r="CD64" s="209" t="str">
        <f>IF(64=64,IF($U64="","",SUMPRODUCT(--ISNUMBER(SEARCH(" "&amp;$CR$2134:$CR$2146&amp;" ",$AA64)))),"")</f>
        <v/>
      </c>
      <c r="CE64" s="209" t="str">
        <f>IF(64=64,IF($U64="","",SUMPRODUCT(--ISNUMBER(SEARCH(" "&amp;$CR$2147:$CR$2152&amp;" ",$AA64)))),"")</f>
        <v/>
      </c>
      <c r="CF64" s="209" t="str">
        <f>IF(64=64,IF($U64="","",IF((CD64)-(0)&gt;0,"X",IF((CE64)-(0)&gt;0,"?",""))),"")</f>
        <v/>
      </c>
      <c r="CG64" s="209" t="str">
        <f>IF(64=64,IF($U64="","",SUMPRODUCT(--ISNUMBER(SEARCH(" "&amp;$CR$2153:$CR$2252&amp;" ",$CJ64)))),"")</f>
        <v/>
      </c>
      <c r="CH64" s="209" t="str">
        <f>IF(64=64,IF($U64="","",SUMPRODUCT(--ISNUMBER(SEARCH(" "&amp;$CR$2253:$CR$2352&amp;" ",$CJ64)))),"")</f>
        <v/>
      </c>
      <c r="CI64" s="209" t="str">
        <f>IF(64=64,IF($U64="","",SUMPRODUCT(--ISNUMBER(SEARCH(" "&amp;$CR$2353:$CR$2395&amp;" ",$CJ64)))),"")</f>
        <v/>
      </c>
      <c r="CJ64" s="209" t="str">
        <f>IF(64=64,IF($U64="","",SUBSTITUTE(SUBSTITUTE(SUBSTITUTE(SUBSTITUTE(SUBSTITUTE(SUBSTITUTE(SUBSTITUTE(SUBSTITUTE(SUBSTITUTE(SUBSTITUTE(SUBSTITUTE(SUBSTITUTE(SUBSTITUTE(SUBSTITUTE(SUBSTITUTE(SUBSTITUTE($AA64,"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/>
      </c>
      <c r="CK64" s="209" t="str">
        <f>IF(64=64,IF($U64="","",SUMPRODUCT(--ISNUMBER(SEARCH(" "&amp;$CR$2412:$CR$2416&amp;" ",$CJ64)))),"")</f>
        <v/>
      </c>
      <c r="CL64" s="209" t="str">
        <f>IF(64=64,IF($U64="","",IF(SUM(CG64:CI64)&gt;0,"X",IF(CK64&gt;0,"?",""))),"")</f>
        <v/>
      </c>
      <c r="CM64" s="210"/>
      <c r="CN64" s="213" t="s">
        <v>1110</v>
      </c>
      <c r="CO64" s="213" t="s">
        <v>878</v>
      </c>
      <c r="CP64" s="213" t="s">
        <v>879</v>
      </c>
      <c r="CQ64" s="213" t="s">
        <v>1111</v>
      </c>
      <c r="CR64" s="213" t="s">
        <v>1111</v>
      </c>
      <c r="CS64" s="213" t="s">
        <v>881</v>
      </c>
      <c r="CT64" s="213" t="s">
        <v>882</v>
      </c>
      <c r="CU64" s="213" t="s">
        <v>883</v>
      </c>
      <c r="CV64" s="214" t="s">
        <v>884</v>
      </c>
      <c r="CX64" s="212">
        <v>1</v>
      </c>
    </row>
    <row r="65" spans="1:102" ht="21" customHeight="1">
      <c r="A65" s="229">
        <v>59</v>
      </c>
      <c r="B65" s="230"/>
      <c r="C65" s="231" t="str">
        <f t="shared" si="0"/>
        <v/>
      </c>
      <c r="D65" s="232" t="str">
        <f>IF(65=65,IF($B65="","",IF(E65="X",""&amp;"Céréales contenant du gluten","")&amp;IF(F65="X",IF(COUNTIF($E65:$E65,"X")&gt;0,", ","")&amp;"Crustacés","")&amp;IF(G65="X",IF(COUNTIF($E65:$F65,"X")&gt;0,", ","")&amp;"Œufs","")&amp;IF(H65="X",IF(COUNTIF($E65:$G65,"X")&gt;0,", ","")&amp;"Poissons","")&amp;IF(I65="X",IF(COUNTIF($E65:$H65,"X")&gt;0,", ","")&amp;"Arachides","")&amp;IF(J65="X",IF(COUNTIF($E65:$I65,"X")&gt;0,", ","")&amp;"Soja","")&amp;IF(K65="X",IF(COUNTIF($E65:$J65,"X")&gt;0,", ","")&amp;"Lait","")&amp;IF(L65="X",IF(COUNTIF($E65:$K65,"X")&gt;0,", ","")&amp;"Fruits à coque","")&amp;IF(M65="X",IF(COUNTIF($E65:$L65,"X")&gt;0,", ","")&amp;"Céleri","")&amp;IF(N65="X",IF(COUNTIF($E65:$M65,"X")&gt;0,", ","")&amp;"Moutarde","")&amp;IF(O65="X",IF(COUNTIF($E65:$N65,"X")&gt;0,", ","")&amp;"Sésame","")&amp;IF(P65="X",IF(COUNTIF($E65:$O65,"X")&gt;0,", ","")&amp;"Sulfites","")&amp;IF(Q65="X",IF(COUNTIF($E65:$P65,"X")&gt;0,", ","")&amp;"Lupin","")&amp;IF(R65="X",IF(COUNTIF($E65:$Q65,"X")&gt;0,", ","")&amp;"Mollusques","")),"")</f>
        <v/>
      </c>
      <c r="E65" s="233" t="str">
        <f>IF(65=65,IF($B65="","",IF(OR(ISNUMBER(SEARCH(" biere sans gluten ",$AA65)),ISNUMBER(SEARCH(" gluten free beer ",$AA65)),ISNUMBER(SEARCH(" beer gluten free ",$AA65))),"",IF(AF65="X","X",IF(OR(AF65="?",OR(ISNUMBER(SEARCH(" worcestershire ",$AA65)),ISNUMBER(SEARCH(" bloody mary ",$AA65)))),"?","")))),"")</f>
        <v/>
      </c>
      <c r="F65" s="233" t="str">
        <f>IF(65=65,IF($B65="","",AI65),"")</f>
        <v/>
      </c>
      <c r="G65" s="233" t="str">
        <f>IF(65=65,IF($B65="","",IF(OR(TRIM($AA65)="puree pate d amande",TRIM($AA65)="pate puree d amande",TRIM($AA65)="puree d amande",TRIM($AA65)="pate d amande",TRIM($AA65)="pate puree de noisette",TRIM($AA65)="puree pate de noisette",TRIM($AA65)="puree de noisette",TRIM($AA65)="pate de noisette"),"",IF(OR(AM65="X",OR(ISNUMBER(SEARCH(" macaron ",$AA65)),ISNUMBER(SEARCH(" egg nog ",$AA65)),ISNUMBER(SEARCH(" eggnog ",$AA65)))),"X",IF(OR(AM65="?",OR(ISNUMBER(SEARCH(" biscuit decoratif ",$AA65)),ISNUMBER(SEARCH(" whisky sour ",$AA65)),ISNUMBER(SEARCH(" whiskey sour ",$AA65)),ISNUMBER(SEARCH(" amaretto sour ",$AA65)),ISNUMBER(SEARCH(" pisco sour ",$AA65)),ISNUMBER(SEARCH(" clover club ",$AA65)),ISNUMBER(SEARCH(" ramos gin fizz ",$AA65)))),"?","")))),"")</f>
        <v/>
      </c>
      <c r="H65" s="233" t="str">
        <f>IF(65=65,IF($B65="","",IF(ISNUMBER(SEARCH(" colin ",$AA65)),"X",IF(AZ65="X","X",IF(OR(AZ65="?",OR(ISNUMBER(SEARCH(" worcestershire ",$AA65)),ISNUMBER(SEARCH(" bloody mary ",$AA65)))),"?","")))),"")</f>
        <v/>
      </c>
      <c r="I65" s="233" t="str">
        <f>IF(65=65,IF($B65="","",BB65),"")</f>
        <v/>
      </c>
      <c r="J65" s="233" t="str">
        <f>IF(65=65,IF($B65="","",BF65),"")</f>
        <v/>
      </c>
      <c r="K65" s="233" t="str">
        <f>IF(65=65,IF($B65="","",IF(OR(OR(TRIM($AA65)="puree pate d amande",TRIM($AA65)="pate puree d amande",TRIM($AA65)="puree d amande",TRIM($AA65)="pate d amande",TRIM($AA65)="pate puree de noisette",TRIM($AA65)="puree pate de noisette",TRIM($AA65)="puree de noisette",TRIM($AA65)="pate de noisette"),OR(TRIM($AA65)="beurre puree d arachide",TRIM($AA65)="beurre d arachide",TRIM($AA65)="puree d arachide"),OR(TRIM($AA65)="tahini puree de sesame",TRIM($AA65)="tahini",TRIM($AA65)="puree de sesame")),"",IF(OR(TRIM($AA65)="creme de cassis",TRIM($AA65)="creme de menthe",TRIM($AA65)="creme de cacao",TRIM($AA65)="creme de mure",TRIM($AA65)="creme de framboise",TRIM($AA65)="creme de peche",TRIM($AA65)="creme de banane",TRIM($AA65)="liqueur creme de coco",TRIM($AA65)="creme de coco",TRIM($AA65)="spiritueux aromatise arrange creme de spiritueux"),"?",IF(OR(BM65="X",OR(ISNUMBER(SEARCH(" baileys ",$AA65)),ISNUMBER(SEARCH(" irish cream ",$AA65)),ISNUMBER(SEARCH(" creme de whisky ",$AA65)))),"X",IF(OR(BM65="?",OR(OR(TRIM($AA65)="creme de cassis",TRIM($AA65)="creme de menthe",TRIM($AA65)="creme de cacao",TRIM($AA65)="creme de mure",TRIM($AA65)="creme de framboise",TRIM($AA65)="creme de peche",TRIM($AA65)="creme de banane",TRIM($AA65)="liqueur creme de coco",TRIM($AA65)="creme de coco",TRIM($AA65)="spiritueux aromatise arrange creme de spiritueux"),ISNUMBER(SEARCH(" advocaat ",$AA65)),ISNUMBER(SEARCH(" liqueur aux oeufs ",$AA65)),ISNUMBER(SEARCH(" liqueur de chocolat ",$AA65)),ISNUMBER(SEARCH(" liqueur de caramel ",$AA65)),ISNUMBER(SEARCH(" sauce nappage chocolat ",$AA65)),ISNUMBER(SEARCH(" biscuit decoratif ",$AA65)),ISNUMBER(SEARCH(" white russian ",$AA65)),ISNUMBER(SEARCH(" grasshopper ",$AA65)),ISNUMBER(SEARCH(" irish coffee ",$AA65)),ISNUMBER(SEARCH(" ramos gin fizz ",$AA65)),ISNUMBER(SEARCH(" egg nog ",$AA65)),ISNUMBER(SEARCH(" eggnog ",$AA65)))),"?",""))))),"")</f>
        <v/>
      </c>
      <c r="L65" s="233" t="str">
        <f>IF(65=65,IF($B65="","",IF(OR(BQ65="X",OR(OR(TRIM($AA65)="puree pate d amande",TRIM($AA65)="pate puree d amande",TRIM($AA65)="puree d amande",TRIM($AA65)="pate d amande",TRIM($AA65)="pate puree de noisette",TRIM($AA65)="puree pate de noisette",TRIM($AA65)="puree de noisette",TRIM($AA65)="pate de noisette"),ISNUMBER(SEARCH(" macaron ",$AA65)),TRIM($AA65)="fruits a coque")),"X",IF(OR(BQ65="?",OR(ISNUMBER(SEARCH(" sirop d orgeat ",$AA65)),ISNUMBER(SEARCH(" orgeat ",$AA65)),ISNUMBER(SEARCH(" amaretto ",$AA65)))),"?",""))),"")</f>
        <v/>
      </c>
      <c r="M65" s="233" t="str">
        <f>IF(65=65,IF($B65="","",IF(OR(OR(TRIM($AA65)="puree pate d amande",TRIM($AA65)="pate puree d amande",TRIM($AA65)="puree d amande",TRIM($AA65)="pate d amande",TRIM($AA65)="pate puree de noisette",TRIM($AA65)="puree pate de noisette",TRIM($AA65)="puree de noisette",TRIM($AA65)="pate de noisette"),OR(TRIM($AA65)="tahini puree de sesame",TRIM($AA65)="tahini",TRIM($AA65)="puree de sesame")),"",IF(BT65="X","X",IF(OR(BT65="?",ISNUMBER(SEARCH(" bloody mary ",$AA65))),"?","")))),"")</f>
        <v/>
      </c>
      <c r="N65" s="233" t="str">
        <f>IF(65=65,IF($B65="","",IF(OR(OR(TRIM($AA65)="puree pate d amande",TRIM($AA65)="pate puree d amande",TRIM($AA65)="puree d amande",TRIM($AA65)="pate d amande",TRIM($AA65)="pate puree de noisette",TRIM($AA65)="puree pate de noisette",TRIM($AA65)="puree de noisette",TRIM($AA65)="pate de noisette"),OR(TRIM($AA65)="tahini puree de sesame",TRIM($AA65)="tahini",TRIM($AA65)="puree de sesame")),"",IF(BW65="X","X",IF(OR(BW65="?",ISNUMBER(SEARCH(" bloody mary ",$AA65))),"?","")))),"")</f>
        <v/>
      </c>
      <c r="O65" s="233" t="str">
        <f>IF(65=65,IF($B65="","",BZ65),"")</f>
        <v/>
      </c>
      <c r="P65" s="233" t="str">
        <f>IF(65=65,IF($B65="","",CC65),"")</f>
        <v/>
      </c>
      <c r="Q65" s="233" t="str">
        <f>IF(65=65,IF($B65="","",CF65),"")</f>
        <v/>
      </c>
      <c r="R65" s="233" t="str">
        <f>IF(65=65,IF($B65="","",IF(TRIM($AA65)="fruits a coque","",IF(CL65="X","X",IF(OR(CL65="?",OR(ISNUMBER(SEARCH(" clamato ",$AA65)),ISNUMBER(SEARCH(" bloody caesar ",$AA65)))),"?","")))),"")</f>
        <v/>
      </c>
      <c r="S65" s="234" t="str">
        <f>IF(65=65,IF($B65="","",IF(E65="?",""&amp;"Céréales contenant du gluten","")&amp;IF(F65="?",IF(COUNTIF($E65:$E65,"~?")&gt;0,", ","")&amp;"Crustacés","")&amp;IF(G65="?",IF(COUNTIF($E65:$F65,"~?")&gt;0,", ","")&amp;"Œufs","")&amp;IF(H65="?",IF(COUNTIF($E65:$G65,"~?")&gt;0,", ","")&amp;"Poissons","")&amp;IF(I65="?",IF(COUNTIF($E65:$H65,"~?")&gt;0,", ","")&amp;"Arachides","")&amp;IF(J65="?",IF(COUNTIF($E65:$I65,"~?")&gt;0,", ","")&amp;"Soja","")&amp;IF(K65="?",IF(COUNTIF($E65:$J65,"~?")&gt;0,", ","")&amp;"Lait","")&amp;IF(L65="?",IF(COUNTIF($E65:$K65,"~?")&gt;0,", ","")&amp;"Fruits à coque","")&amp;IF(M65="?",IF(COUNTIF($E65:$L65,"~?")&gt;0,", ","")&amp;"Céleri","")&amp;IF(N65="?",IF(COUNTIF($E65:$M65,"~?")&gt;0,", ","")&amp;"Moutarde","")&amp;IF(O65="?",IF(COUNTIF($E65:$N65,"~?")&gt;0,", ","")&amp;"Sésame","")&amp;IF(P65="?",IF(COUNTIF($E65:$O65,"~?")&gt;0,", ","")&amp;"Sulfites","")&amp;IF(Q65="?",IF(COUNTIF($E65:$P65,"~?")&gt;0,", ","")&amp;"Lupin","")&amp;IF(R65="?",IF(COUNTIF($E65:$Q65,"~?")&gt;0,", ","")&amp;"Mollusques","")),"")</f>
        <v/>
      </c>
      <c r="U65" s="209" t="str">
        <f>IF(65=65,IF($B65="","",$B65),"")</f>
        <v/>
      </c>
      <c r="V65" s="209" t="str">
        <f>IF(65=65,LOWER(CLEAN(SUBSTITUTE(SUBSTITUTE(SUBSTITUTE(SUBSTITUTE($U65,CHAR(160)," ")," "," "),CHAR(10)," "),CHAR(13)," "))),"")</f>
        <v/>
      </c>
      <c r="W65" s="209" t="str">
        <f>IF(65=65,SUBSTITUTE(SUBSTITUTE(SUBSTITUTE(SUBSTITUTE(SUBSTITUTE(SUBSTITUTE(SUBSTITUTE(SUBSTITUTE(SUBSTITUTE(SUBSTITUTE(SUBSTITUTE(SUBSTITUTE($V65,"œ","oe"),"æ","ae"),"à","a"),"á","a"),"â","a"),"ä","a"),"ã","a"),"ç","c"),"è","e"),"é","e"),"ê","e"),"ë","e"),"")</f>
        <v/>
      </c>
      <c r="X65" s="209" t="str">
        <f>IF(65=65,SUBSTITUTE(SUBSTITUTE(SUBSTITUTE(SUBSTITUTE(SUBSTITUTE(SUBSTITUTE(SUBSTITUTE(SUBSTITUTE(SUBSTITUTE(SUBSTITUTE(SUBSTITUTE(SUBSTITUTE(SUBSTITUTE(SUBSTITUTE(SUBSTITUTE(SUBSTITUTE($W65,"ì","i"),"í","i"),"î","i"),"ï","i"),"ñ","n"),"ò","o"),"ó","o"),"ô","o"),"ö","o"),"õ","o"),"ù","u"),"ú","u"),"û","u"),"ü","u"),"ý","y"),"ÿ","y"),"")</f>
        <v/>
      </c>
      <c r="Y65" s="209" t="str">
        <f>IF(65=65,SUBSTITUTE(SUBSTITUTE(SUBSTITUTE(SUBSTITUTE(SUBSTITUTE(SUBSTITUTE(SUBSTITUTE(SUBSTITUTE(SUBSTITUTE(SUBSTITUTE(SUBSTITUTE(SUBSTITUTE(SUBSTITUTE(SUBSTITUTE($X65,"’"," "),"`"," "),"–"," "),"—"," "),"-"," "),"'"," "),"/"," "),"_"," "),","," "),"."," "),"("," "),")"," "),";"," "),":"," "),"")</f>
        <v/>
      </c>
      <c r="Z65" s="209" t="str">
        <f>IF(65=65,SUBSTITUTE(SUBSTITUTE(SUBSTITUTE(SUBSTITUTE(SUBSTITUTE(SUBSTITUTE(SUBSTITUTE(SUBSTITUTE(SUBSTITUTE(SUBSTITUTE(SUBSTITUTE(SUBSTITUTE(SUBSTITUTE(SUBSTITUTE(SUBSTITUTE($Y65,"!"," "),"?"," "),"+"," "),"*"," "),"&amp;"," "),"["," "),"]"," "),"{"," "),"}"," "),"%"," "),"="," "),"\"," "),"|"," "),"&lt;"," "),"&gt;"," "),"")</f>
        <v/>
      </c>
      <c r="AA65" s="209" t="str">
        <f>IF(65=65," "&amp;TRIM(SUBSTITUTE(SUBSTITUTE(SUBSTITUTE(SUBSTITUTE(SUBSTITUTE(SUBSTITUTE($Z65,CHAR(34)," "),"  "," "),"  "," "),"  "," "),"  "," "),"  "," "))&amp;" ","")</f>
        <v xml:space="preserve">  </v>
      </c>
      <c r="AB65" s="209" t="str">
        <f>IF(65=65,IF($U65="","",SUMPRODUCT(--ISNUMBER(SEARCH(" "&amp;$CR$2:$CR$101&amp;" ",$AD65)))),"")</f>
        <v/>
      </c>
      <c r="AC65" s="209" t="str">
        <f>IF(65=65,IF($U65="","",SUMPRODUCT(--ISNUMBER(SEARCH(" "&amp;$CR$102:$CR$151&amp;" ",$AD65)))),"")</f>
        <v/>
      </c>
      <c r="AD65" s="209" t="str">
        <f t="shared" si="1"/>
        <v/>
      </c>
      <c r="AE65" s="209" t="str">
        <f t="shared" si="2"/>
        <v/>
      </c>
      <c r="AF65" s="209" t="str">
        <f>IF(65=65,IF($U65="","",IF(SUM(AB65:AC65)+SUMPRODUCT(--ISNUMBER(SEARCH(" "&amp;$CR$2418:$CR$2420&amp;" ",$AD65)))&gt;0,"X",IF(AE65&gt;0,"?",""))),"")</f>
        <v/>
      </c>
      <c r="AG65" s="209" t="str">
        <f>IF(65=65,IF($U65="","",SUMPRODUCT(--ISNUMBER(SEARCH(" "&amp;$CR$206:$CR$305&amp;" ",$AA65)))),"")</f>
        <v/>
      </c>
      <c r="AH65" s="209" t="str">
        <f>IF(65=65,IF($U65="","",SUMPRODUCT(--ISNUMBER(SEARCH(" "&amp;$CR$306:$CR$340&amp;" ",$AA65)))),"")</f>
        <v/>
      </c>
      <c r="AI65" s="209" t="str">
        <f>IF(65=65,IF($U65="","",IF((SUM(AG65:AH65))-(0)&gt;0,"X",IF((0)-(0)&gt;0,"?",""))),"")</f>
        <v/>
      </c>
      <c r="AJ65" s="209" t="str">
        <f>IF(65=65,IF($U65="","",SUMPRODUCT(--ISNUMBER(SEARCH(" "&amp;$CR$341:$CR$398&amp;" ",$AA65)))),"")</f>
        <v/>
      </c>
      <c r="AK65" s="209" t="str">
        <f>IF(65=65,IF($U65="","",SUMPRODUCT(--ISNUMBER(SEARCH(" "&amp;$CR$399:$CR$426&amp;" ",$AL65)))+SUMPRODUCT(--ISNUMBER(SEARCH(" "&amp;$CR$2440:$CR$2453&amp;" ",$AL65)))),"")</f>
        <v/>
      </c>
      <c r="AL65" s="209" t="str">
        <f>IF(65=65,IF($U65="","",SUBSTITUTE(SUBSTITUTE(SUBSTITUTE(SUBSTITUTE(SUBSTITUTE(SUBSTITUTE(SUBSTITUTE(SUBSTITUTE(SUBSTITUTE(SUBSTITUTE(SUBSTITUTE(SUBSTITUTE(SUBSTITUTE(SUBSTITUTE($AA65,"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/>
      </c>
      <c r="AM65" s="209" t="str">
        <f>IF(65=65,IF($U65="","",IF(AJ65&gt;0,"X",IF(AK65&gt;0,"?",""))),"")</f>
        <v/>
      </c>
      <c r="AN65" s="209" t="str">
        <f>IF(65=65,IF($U65="","",SUMPRODUCT(--ISNUMBER(SEARCH(" "&amp;$CR$436:$CR$535&amp;" ",$AX65)))),"")</f>
        <v/>
      </c>
      <c r="AO65" s="209" t="str">
        <f>IF(65=65,IF($U65="","",SUMPRODUCT(--ISNUMBER(SEARCH(" "&amp;$CR$536:$CR$635&amp;" ",$AX65)))),"")</f>
        <v/>
      </c>
      <c r="AP65" s="209" t="str">
        <f>IF(65=65,IF($U65="","",SUMPRODUCT(--ISNUMBER(SEARCH(" "&amp;$CR$636:$CR$735&amp;" ",$AX65)))),"")</f>
        <v/>
      </c>
      <c r="AQ65" s="209" t="str">
        <f>IF(65=65,IF($U65="","",SUMPRODUCT(--ISNUMBER(SEARCH(" "&amp;$CR$736:$CR$835&amp;" ",$AX65)))),"")</f>
        <v/>
      </c>
      <c r="AR65" s="209" t="str">
        <f>IF(65=65,IF($U65="","",SUMPRODUCT(--ISNUMBER(SEARCH(" "&amp;$CR$836:$CR$935&amp;" ",$AX65)))),"")</f>
        <v/>
      </c>
      <c r="AS65" s="209" t="str">
        <f>IF(65=65,IF($U65="","",SUMPRODUCT(--ISNUMBER(SEARCH(" "&amp;$CR$936:$CR$1035&amp;" ",$AX65)))),"")</f>
        <v/>
      </c>
      <c r="AT65" s="209" t="str">
        <f>IF(65=65,IF($U65="","",SUMPRODUCT(--ISNUMBER(SEARCH(" "&amp;$CR$1036:$CR$1135&amp;" ",$AX65)))),"")</f>
        <v/>
      </c>
      <c r="AU65" s="209" t="str">
        <f>IF(65=65,IF($U65="","",SUMPRODUCT(--ISNUMBER(SEARCH(" "&amp;$CR$1136:$CR$1235&amp;" ",$AX65)))),"")</f>
        <v/>
      </c>
      <c r="AV65" s="209" t="str">
        <f>IF(65=65,IF($U65="","",SUMPRODUCT(--ISNUMBER(SEARCH(" "&amp;$CR$1236:$CR$1335&amp;" ",$AX65)))),"")</f>
        <v/>
      </c>
      <c r="AW65" s="209" t="str">
        <f>IF(65=65,IF($U65="","",SUMPRODUCT(--ISNUMBER(SEARCH(" "&amp;$CR$1336:$CR$1363&amp;" ",$AX65)))),"")</f>
        <v/>
      </c>
      <c r="AX65" s="209" t="str">
        <f>IF(65=65,IF($U65="","",SUBSTITUTE(SUBSTITUTE(SUBSTITUTE(SUBSTITUTE(SUBSTITUTE(SUBSTITUTE(SUBSTITUTE(SUBSTITUTE(SUBSTITUTE($AA65,"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/>
      </c>
      <c r="AY65" s="209" t="str">
        <f>IF(65=65,IF($U65="","",SUMPRODUCT(--ISNUMBER(SEARCH(" "&amp;$CR$1373:$CR$1383&amp;" ",$AX65)))),"")</f>
        <v/>
      </c>
      <c r="AZ65" s="209" t="str">
        <f>IF(65=65,IF($U65="","",IF(SUM(AN65:AW65)+SUMPRODUCT(--ISNUMBER(SEARCH(" "&amp;$CR$2421:$CR$2422&amp;" ",$AX65)))&gt;0,"X",IF(AY65&gt;0,"?",""))),"")</f>
        <v/>
      </c>
      <c r="BA65" s="209" t="str">
        <f>IF(65=65,IF($U65="","",SUMPRODUCT(--ISNUMBER(SEARCH(" "&amp;$CR$1384:$CR$1404&amp;" ",$AA65)))),"")</f>
        <v/>
      </c>
      <c r="BB65" s="209" t="str">
        <f>IF(65=65,IF($U65="","",IF((BA65)-(0)&gt;0,"X",IF((0)-(0)&gt;0,"?",""))),"")</f>
        <v/>
      </c>
      <c r="BC65" s="209" t="str">
        <f>IF(65=65,IF($U65="","",SUMPRODUCT(--ISNUMBER(SEARCH(" "&amp;$CR$1405:$CR$1442&amp;" ",$BD65)))),"")</f>
        <v/>
      </c>
      <c r="BD65" s="209" t="str">
        <f>IF(65=65,IF($U65="","",SUBSTITUTE(SUBSTITUTE($AA65," "&amp;$CR$1443&amp;" "," ")," "&amp;$CR$1444&amp;" "," ")),"")</f>
        <v/>
      </c>
      <c r="BE65" s="209" t="str">
        <f>IF(65=65,IF($U65="","",SUMPRODUCT(--ISNUMBER(SEARCH(" "&amp;$CR$1445:$CR$1455&amp;" ",$BD65)))),"")</f>
        <v/>
      </c>
      <c r="BF65" s="209" t="str">
        <f>IF(65=65,IF($U65="","",IF(BC65&gt;0,"X",IF(BE65&gt;0,"?",""))),"")</f>
        <v/>
      </c>
      <c r="BG65" s="209" t="str">
        <f>IF(65=65,IF($U65="","",SUMPRODUCT(--ISNUMBER(SEARCH(" "&amp;$CR$1456:$CR$1555&amp;" ",$BJ65)))),"")</f>
        <v/>
      </c>
      <c r="BH65" s="209" t="str">
        <f>IF(65=65,IF($U65="","",SUMPRODUCT(--ISNUMBER(SEARCH(" "&amp;$CR$1556:$CR$1655&amp;" ",$BJ65)))),"")</f>
        <v/>
      </c>
      <c r="BI65" s="209" t="str">
        <f>IF(65=65,IF($U65="","",SUMPRODUCT(--ISNUMBER(SEARCH(" "&amp;$CR$1656:$CR$1739&amp;" ",$BJ65)))),"")</f>
        <v/>
      </c>
      <c r="BJ65" s="209" t="str">
        <f>IF(65=65,IF($U65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65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/>
      </c>
      <c r="BK65" s="209" t="str">
        <f>IF(65=65,IF($U65="","",SUMPRODUCT(--ISNUMBER(SEARCH(" "&amp;$CR$1790:$CR$1869&amp;" ",$BL65)))+SUMPRODUCT(--ISNUMBER(SEARCH(" "&amp;$CR$2440:$CR$2453&amp;" ",$BL65)))),"")</f>
        <v/>
      </c>
      <c r="BL65" s="209" t="str">
        <f>IF(65=65,IF($U65="","",SUBSTITUTE(SUBSTITUTE(SUBSTITUTE(SUBSTITUTE(SUBSTITUTE(SUBSTITUTE(SUBSTITUTE(SUBSTITUTE(SUBSTITUTE(SUBSTITUTE(SUBSTITUTE(SUBSTITUTE(SUBSTITUTE($BJ65,"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/>
      </c>
      <c r="BM65" s="209" t="str">
        <f>IF(65=65,IF($U65="","",IF(SUM(BG65:BI65)+SUMPRODUCT(--ISNUMBER(SEARCH(" "&amp;$CR$2423:$CR$2424&amp;" ",$BJ65)))&gt;0,"X",IF(BK65&gt;0,"?",""))),"")</f>
        <v/>
      </c>
      <c r="BN65" s="209" t="str">
        <f>IF(65=65,IF($U65="","",SUMPRODUCT(--ISNUMBER(SEARCH(" "&amp;$CR$1879:$CR$1936&amp;" ",$BO65)))),"")</f>
        <v/>
      </c>
      <c r="BO65" s="209" t="str">
        <f>IF(65=65,IF($U65="","",SUBSTITUTE(SUBSTITUTE(SUBSTITUTE(SUBSTITUTE(SUBSTITUTE(SUBSTITUTE(SUBSTITUTE(SUBSTITUTE(SUBSTITUTE(SUBSTITUTE(SUBSTITUTE(SUBSTITUTE(SUBSTITUTE(SUBSTITUTE(SUBSTITUTE(SUBSTITUTE(SUBSTITUTE(SUBSTITUTE(SUBSTITUTE(SUBSTITUTE(SUBSTITUTE(SUBSTITUTE(SUBSTITUTE($AA65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/>
      </c>
      <c r="BP65" s="209" t="str">
        <f>IF(65=65,IF($U65="","",SUMPRODUCT(--ISNUMBER(SEARCH(" "&amp;$CR$1960:$CR$1976&amp;" ",$BO65)))),"")</f>
        <v/>
      </c>
      <c r="BQ65" s="209" t="str">
        <f>IF(65=65,IF($U65="","",IF(BN65&gt;0,"X",IF(BP65&gt;0,"?",""))),"")</f>
        <v/>
      </c>
      <c r="BR65" s="209" t="str">
        <f>IF(65=65,IF($U65="","",SUMPRODUCT(--ISNUMBER(SEARCH(" "&amp;$CR$1977:$CR$1990&amp;" ",$AA65)))),"")</f>
        <v/>
      </c>
      <c r="BS65" s="209" t="str">
        <f>IF(65=65,IF($U65="","",SUMPRODUCT(--ISNUMBER(SEARCH(" "&amp;$CR$1991:$CR$2005&amp;" ",$AA65)))),"")</f>
        <v/>
      </c>
      <c r="BT65" s="209" t="str">
        <f>IF(65=65,IF($U65="","",IF((BR65)-(0)&gt;0,"X",IF((BS65)-(0)&gt;0,"?",""))),"")</f>
        <v/>
      </c>
      <c r="BU65" s="209" t="str">
        <f>IF(65=65,IF($U65="","",SUMPRODUCT(--ISNUMBER(SEARCH(" "&amp;$CR$2006:$CR$2023&amp;" ",$AA65)))),"")</f>
        <v/>
      </c>
      <c r="BV65" s="209" t="str">
        <f>IF(65=65,IF($U65="","",SUMPRODUCT(--ISNUMBER(SEARCH(" "&amp;$CR$2024:$CR$2038&amp;" ",$AA65)))),"")</f>
        <v/>
      </c>
      <c r="BW65" s="209" t="str">
        <f>IF(65=65,IF($U65="","",IF((BU65)-(0)&gt;0,"X",IF((BV65)-(0)&gt;0,"?",""))),"")</f>
        <v/>
      </c>
      <c r="BX65" s="209" t="str">
        <f>IF(65=65,IF($U65="","",SUMPRODUCT(--ISNUMBER(SEARCH(" "&amp;$CR$2039:$CR$2057&amp;" ",$AA65)))),"")</f>
        <v/>
      </c>
      <c r="BY65" s="209" t="str">
        <f>IF(65=65,IF($U65="","",SUMPRODUCT(--ISNUMBER(SEARCH(" "&amp;$CR$2058:$CR$2072&amp;" ",$AA65)))),"")</f>
        <v/>
      </c>
      <c r="BZ65" s="209" t="str">
        <f>IF(65=65,IF($U65="","",IF((BX65)-(0)&gt;0,"X",IF((BY65)-(0)&gt;0,"?",""))),"")</f>
        <v/>
      </c>
      <c r="CA65" s="209" t="str">
        <f>IF(65=65,IF($U65="","",SUMPRODUCT(--ISNUMBER(SEARCH(" "&amp;$CR$2073:$CR$2093&amp;" ",$AA65)))),"")</f>
        <v/>
      </c>
      <c r="CB65" s="209" t="str">
        <f>IF(65=65,IF($U65="","",SUMPRODUCT(--ISNUMBER(SEARCH(" "&amp;$CR$2094:$CR$2133&amp;" ",SUBSTITUTE(SUBSTITUTE($AA65," "&amp;$CR$1367&amp;" "," ")," "&amp;$CR$1366&amp;" "," "))))+--ISNUMBER(SEARCH("poiré",$V65))),"")</f>
        <v/>
      </c>
      <c r="CC65" s="209" t="str">
        <f>IF(65=65,IF($U65="","",IF(OR(CA65&gt;0,ISNUMBER(SEARCH(" vinaigre de vin ",$AA65)),ISNUMBER(SEARCH(" vinaigre au vin ",$AA65))),"X",IF(CB65&gt;0,"?",""))),"")</f>
        <v/>
      </c>
      <c r="CD65" s="209" t="str">
        <f>IF(65=65,IF($U65="","",SUMPRODUCT(--ISNUMBER(SEARCH(" "&amp;$CR$2134:$CR$2146&amp;" ",$AA65)))),"")</f>
        <v/>
      </c>
      <c r="CE65" s="209" t="str">
        <f>IF(65=65,IF($U65="","",SUMPRODUCT(--ISNUMBER(SEARCH(" "&amp;$CR$2147:$CR$2152&amp;" ",$AA65)))),"")</f>
        <v/>
      </c>
      <c r="CF65" s="209" t="str">
        <f>IF(65=65,IF($U65="","",IF((CD65)-(0)&gt;0,"X",IF((CE65)-(0)&gt;0,"?",""))),"")</f>
        <v/>
      </c>
      <c r="CG65" s="209" t="str">
        <f>IF(65=65,IF($U65="","",SUMPRODUCT(--ISNUMBER(SEARCH(" "&amp;$CR$2153:$CR$2252&amp;" ",$CJ65)))),"")</f>
        <v/>
      </c>
      <c r="CH65" s="209" t="str">
        <f>IF(65=65,IF($U65="","",SUMPRODUCT(--ISNUMBER(SEARCH(" "&amp;$CR$2253:$CR$2352&amp;" ",$CJ65)))),"")</f>
        <v/>
      </c>
      <c r="CI65" s="209" t="str">
        <f>IF(65=65,IF($U65="","",SUMPRODUCT(--ISNUMBER(SEARCH(" "&amp;$CR$2353:$CR$2395&amp;" ",$CJ65)))),"")</f>
        <v/>
      </c>
      <c r="CJ65" s="209" t="str">
        <f>IF(65=65,IF($U65="","",SUBSTITUTE(SUBSTITUTE(SUBSTITUTE(SUBSTITUTE(SUBSTITUTE(SUBSTITUTE(SUBSTITUTE(SUBSTITUTE(SUBSTITUTE(SUBSTITUTE(SUBSTITUTE(SUBSTITUTE(SUBSTITUTE(SUBSTITUTE(SUBSTITUTE(SUBSTITUTE($AA65,"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/>
      </c>
      <c r="CK65" s="209" t="str">
        <f>IF(65=65,IF($U65="","",SUMPRODUCT(--ISNUMBER(SEARCH(" "&amp;$CR$2412:$CR$2416&amp;" ",$CJ65)))),"")</f>
        <v/>
      </c>
      <c r="CL65" s="209" t="str">
        <f>IF(65=65,IF($U65="","",IF(SUM(CG65:CI65)&gt;0,"X",IF(CK65&gt;0,"?",""))),"")</f>
        <v/>
      </c>
      <c r="CM65" s="210"/>
      <c r="CN65" s="213" t="s">
        <v>1112</v>
      </c>
      <c r="CO65" s="213" t="s">
        <v>878</v>
      </c>
      <c r="CP65" s="213" t="s">
        <v>879</v>
      </c>
      <c r="CQ65" s="213" t="s">
        <v>1113</v>
      </c>
      <c r="CR65" s="213" t="s">
        <v>1114</v>
      </c>
      <c r="CS65" s="213" t="s">
        <v>881</v>
      </c>
      <c r="CT65" s="213" t="s">
        <v>882</v>
      </c>
      <c r="CU65" s="213" t="s">
        <v>883</v>
      </c>
      <c r="CV65" s="214" t="s">
        <v>884</v>
      </c>
      <c r="CX65" s="212">
        <v>1</v>
      </c>
    </row>
    <row r="66" spans="1:102" ht="21" customHeight="1">
      <c r="A66" s="235">
        <v>60</v>
      </c>
      <c r="B66" s="236"/>
      <c r="C66" s="237" t="str">
        <f t="shared" si="0"/>
        <v/>
      </c>
      <c r="D66" s="238" t="str">
        <f>IF(66=66,IF($B66="","",IF(E66="X",""&amp;"Céréales contenant du gluten","")&amp;IF(F66="X",IF(COUNTIF($E66:$E66,"X")&gt;0,", ","")&amp;"Crustacés","")&amp;IF(G66="X",IF(COUNTIF($E66:$F66,"X")&gt;0,", ","")&amp;"Œufs","")&amp;IF(H66="X",IF(COUNTIF($E66:$G66,"X")&gt;0,", ","")&amp;"Poissons","")&amp;IF(I66="X",IF(COUNTIF($E66:$H66,"X")&gt;0,", ","")&amp;"Arachides","")&amp;IF(J66="X",IF(COUNTIF($E66:$I66,"X")&gt;0,", ","")&amp;"Soja","")&amp;IF(K66="X",IF(COUNTIF($E66:$J66,"X")&gt;0,", ","")&amp;"Lait","")&amp;IF(L66="X",IF(COUNTIF($E66:$K66,"X")&gt;0,", ","")&amp;"Fruits à coque","")&amp;IF(M66="X",IF(COUNTIF($E66:$L66,"X")&gt;0,", ","")&amp;"Céleri","")&amp;IF(N66="X",IF(COUNTIF($E66:$M66,"X")&gt;0,", ","")&amp;"Moutarde","")&amp;IF(O66="X",IF(COUNTIF($E66:$N66,"X")&gt;0,", ","")&amp;"Sésame","")&amp;IF(P66="X",IF(COUNTIF($E66:$O66,"X")&gt;0,", ","")&amp;"Sulfites","")&amp;IF(Q66="X",IF(COUNTIF($E66:$P66,"X")&gt;0,", ","")&amp;"Lupin","")&amp;IF(R66="X",IF(COUNTIF($E66:$Q66,"X")&gt;0,", ","")&amp;"Mollusques","")),"")</f>
        <v/>
      </c>
      <c r="E66" s="239" t="str">
        <f>IF(66=66,IF($B66="","",IF(OR(ISNUMBER(SEARCH(" biere sans gluten ",$AA66)),ISNUMBER(SEARCH(" gluten free beer ",$AA66)),ISNUMBER(SEARCH(" beer gluten free ",$AA66))),"",IF(AF66="X","X",IF(OR(AF66="?",OR(ISNUMBER(SEARCH(" worcestershire ",$AA66)),ISNUMBER(SEARCH(" bloody mary ",$AA66)))),"?","")))),"")</f>
        <v/>
      </c>
      <c r="F66" s="239" t="str">
        <f>IF(66=66,IF($B66="","",AI66),"")</f>
        <v/>
      </c>
      <c r="G66" s="239" t="str">
        <f>IF(66=66,IF($B66="","",IF(OR(TRIM($AA66)="puree pate d amande",TRIM($AA66)="pate puree d amande",TRIM($AA66)="puree d amande",TRIM($AA66)="pate d amande",TRIM($AA66)="pate puree de noisette",TRIM($AA66)="puree pate de noisette",TRIM($AA66)="puree de noisette",TRIM($AA66)="pate de noisette"),"",IF(OR(AM66="X",OR(ISNUMBER(SEARCH(" macaron ",$AA66)),ISNUMBER(SEARCH(" egg nog ",$AA66)),ISNUMBER(SEARCH(" eggnog ",$AA66)))),"X",IF(OR(AM66="?",OR(ISNUMBER(SEARCH(" biscuit decoratif ",$AA66)),ISNUMBER(SEARCH(" whisky sour ",$AA66)),ISNUMBER(SEARCH(" whiskey sour ",$AA66)),ISNUMBER(SEARCH(" amaretto sour ",$AA66)),ISNUMBER(SEARCH(" pisco sour ",$AA66)),ISNUMBER(SEARCH(" clover club ",$AA66)),ISNUMBER(SEARCH(" ramos gin fizz ",$AA66)))),"?","")))),"")</f>
        <v/>
      </c>
      <c r="H66" s="239" t="str">
        <f>IF(66=66,IF($B66="","",IF(ISNUMBER(SEARCH(" colin ",$AA66)),"X",IF(AZ66="X","X",IF(OR(AZ66="?",OR(ISNUMBER(SEARCH(" worcestershire ",$AA66)),ISNUMBER(SEARCH(" bloody mary ",$AA66)))),"?","")))),"")</f>
        <v/>
      </c>
      <c r="I66" s="239" t="str">
        <f>IF(66=66,IF($B66="","",BB66),"")</f>
        <v/>
      </c>
      <c r="J66" s="239" t="str">
        <f>IF(66=66,IF($B66="","",BF66),"")</f>
        <v/>
      </c>
      <c r="K66" s="239" t="str">
        <f>IF(66=66,IF($B66="","",IF(OR(OR(TRIM($AA66)="puree pate d amande",TRIM($AA66)="pate puree d amande",TRIM($AA66)="puree d amande",TRIM($AA66)="pate d amande",TRIM($AA66)="pate puree de noisette",TRIM($AA66)="puree pate de noisette",TRIM($AA66)="puree de noisette",TRIM($AA66)="pate de noisette"),OR(TRIM($AA66)="beurre puree d arachide",TRIM($AA66)="beurre d arachide",TRIM($AA66)="puree d arachide"),OR(TRIM($AA66)="tahini puree de sesame",TRIM($AA66)="tahini",TRIM($AA66)="puree de sesame")),"",IF(OR(TRIM($AA66)="creme de cassis",TRIM($AA66)="creme de menthe",TRIM($AA66)="creme de cacao",TRIM($AA66)="creme de mure",TRIM($AA66)="creme de framboise",TRIM($AA66)="creme de peche",TRIM($AA66)="creme de banane",TRIM($AA66)="liqueur creme de coco",TRIM($AA66)="creme de coco",TRIM($AA66)="spiritueux aromatise arrange creme de spiritueux"),"?",IF(OR(BM66="X",OR(ISNUMBER(SEARCH(" baileys ",$AA66)),ISNUMBER(SEARCH(" irish cream ",$AA66)),ISNUMBER(SEARCH(" creme de whisky ",$AA66)))),"X",IF(OR(BM66="?",OR(OR(TRIM($AA66)="creme de cassis",TRIM($AA66)="creme de menthe",TRIM($AA66)="creme de cacao",TRIM($AA66)="creme de mure",TRIM($AA66)="creme de framboise",TRIM($AA66)="creme de peche",TRIM($AA66)="creme de banane",TRIM($AA66)="liqueur creme de coco",TRIM($AA66)="creme de coco",TRIM($AA66)="spiritueux aromatise arrange creme de spiritueux"),ISNUMBER(SEARCH(" advocaat ",$AA66)),ISNUMBER(SEARCH(" liqueur aux oeufs ",$AA66)),ISNUMBER(SEARCH(" liqueur de chocolat ",$AA66)),ISNUMBER(SEARCH(" liqueur de caramel ",$AA66)),ISNUMBER(SEARCH(" sauce nappage chocolat ",$AA66)),ISNUMBER(SEARCH(" biscuit decoratif ",$AA66)),ISNUMBER(SEARCH(" white russian ",$AA66)),ISNUMBER(SEARCH(" grasshopper ",$AA66)),ISNUMBER(SEARCH(" irish coffee ",$AA66)),ISNUMBER(SEARCH(" ramos gin fizz ",$AA66)),ISNUMBER(SEARCH(" egg nog ",$AA66)),ISNUMBER(SEARCH(" eggnog ",$AA66)))),"?",""))))),"")</f>
        <v/>
      </c>
      <c r="L66" s="239" t="str">
        <f>IF(66=66,IF($B66="","",IF(OR(BQ66="X",OR(OR(TRIM($AA66)="puree pate d amande",TRIM($AA66)="pate puree d amande",TRIM($AA66)="puree d amande",TRIM($AA66)="pate d amande",TRIM($AA66)="pate puree de noisette",TRIM($AA66)="puree pate de noisette",TRIM($AA66)="puree de noisette",TRIM($AA66)="pate de noisette"),ISNUMBER(SEARCH(" macaron ",$AA66)),TRIM($AA66)="fruits a coque")),"X",IF(OR(BQ66="?",OR(ISNUMBER(SEARCH(" sirop d orgeat ",$AA66)),ISNUMBER(SEARCH(" orgeat ",$AA66)),ISNUMBER(SEARCH(" amaretto ",$AA66)))),"?",""))),"")</f>
        <v/>
      </c>
      <c r="M66" s="239" t="str">
        <f>IF(66=66,IF($B66="","",IF(OR(OR(TRIM($AA66)="puree pate d amande",TRIM($AA66)="pate puree d amande",TRIM($AA66)="puree d amande",TRIM($AA66)="pate d amande",TRIM($AA66)="pate puree de noisette",TRIM($AA66)="puree pate de noisette",TRIM($AA66)="puree de noisette",TRIM($AA66)="pate de noisette"),OR(TRIM($AA66)="tahini puree de sesame",TRIM($AA66)="tahini",TRIM($AA66)="puree de sesame")),"",IF(BT66="X","X",IF(OR(BT66="?",ISNUMBER(SEARCH(" bloody mary ",$AA66))),"?","")))),"")</f>
        <v/>
      </c>
      <c r="N66" s="239" t="str">
        <f>IF(66=66,IF($B66="","",IF(OR(OR(TRIM($AA66)="puree pate d amande",TRIM($AA66)="pate puree d amande",TRIM($AA66)="puree d amande",TRIM($AA66)="pate d amande",TRIM($AA66)="pate puree de noisette",TRIM($AA66)="puree pate de noisette",TRIM($AA66)="puree de noisette",TRIM($AA66)="pate de noisette"),OR(TRIM($AA66)="tahini puree de sesame",TRIM($AA66)="tahini",TRIM($AA66)="puree de sesame")),"",IF(BW66="X","X",IF(OR(BW66="?",ISNUMBER(SEARCH(" bloody mary ",$AA66))),"?","")))),"")</f>
        <v/>
      </c>
      <c r="O66" s="239" t="str">
        <f>IF(66=66,IF($B66="","",BZ66),"")</f>
        <v/>
      </c>
      <c r="P66" s="239" t="str">
        <f>IF(66=66,IF($B66="","",CC66),"")</f>
        <v/>
      </c>
      <c r="Q66" s="239" t="str">
        <f>IF(66=66,IF($B66="","",CF66),"")</f>
        <v/>
      </c>
      <c r="R66" s="239" t="str">
        <f>IF(66=66,IF($B66="","",IF(TRIM($AA66)="fruits a coque","",IF(CL66="X","X",IF(OR(CL66="?",OR(ISNUMBER(SEARCH(" clamato ",$AA66)),ISNUMBER(SEARCH(" bloody caesar ",$AA66)))),"?","")))),"")</f>
        <v/>
      </c>
      <c r="S66" s="240" t="str">
        <f>IF(66=66,IF($B66="","",IF(E66="?",""&amp;"Céréales contenant du gluten","")&amp;IF(F66="?",IF(COUNTIF($E66:$E66,"~?")&gt;0,", ","")&amp;"Crustacés","")&amp;IF(G66="?",IF(COUNTIF($E66:$F66,"~?")&gt;0,", ","")&amp;"Œufs","")&amp;IF(H66="?",IF(COUNTIF($E66:$G66,"~?")&gt;0,", ","")&amp;"Poissons","")&amp;IF(I66="?",IF(COUNTIF($E66:$H66,"~?")&gt;0,", ","")&amp;"Arachides","")&amp;IF(J66="?",IF(COUNTIF($E66:$I66,"~?")&gt;0,", ","")&amp;"Soja","")&amp;IF(K66="?",IF(COUNTIF($E66:$J66,"~?")&gt;0,", ","")&amp;"Lait","")&amp;IF(L66="?",IF(COUNTIF($E66:$K66,"~?")&gt;0,", ","")&amp;"Fruits à coque","")&amp;IF(M66="?",IF(COUNTIF($E66:$L66,"~?")&gt;0,", ","")&amp;"Céleri","")&amp;IF(N66="?",IF(COUNTIF($E66:$M66,"~?")&gt;0,", ","")&amp;"Moutarde","")&amp;IF(O66="?",IF(COUNTIF($E66:$N66,"~?")&gt;0,", ","")&amp;"Sésame","")&amp;IF(P66="?",IF(COUNTIF($E66:$O66,"~?")&gt;0,", ","")&amp;"Sulfites","")&amp;IF(Q66="?",IF(COUNTIF($E66:$P66,"~?")&gt;0,", ","")&amp;"Lupin","")&amp;IF(R66="?",IF(COUNTIF($E66:$Q66,"~?")&gt;0,", ","")&amp;"Mollusques","")),"")</f>
        <v/>
      </c>
      <c r="U66" s="209" t="str">
        <f>IF(66=66,IF($B66="","",$B66),"")</f>
        <v/>
      </c>
      <c r="V66" s="209" t="str">
        <f>IF(66=66,LOWER(CLEAN(SUBSTITUTE(SUBSTITUTE(SUBSTITUTE(SUBSTITUTE($U66,CHAR(160)," ")," "," "),CHAR(10)," "),CHAR(13)," "))),"")</f>
        <v/>
      </c>
      <c r="W66" s="209" t="str">
        <f>IF(66=66,SUBSTITUTE(SUBSTITUTE(SUBSTITUTE(SUBSTITUTE(SUBSTITUTE(SUBSTITUTE(SUBSTITUTE(SUBSTITUTE(SUBSTITUTE(SUBSTITUTE(SUBSTITUTE(SUBSTITUTE($V66,"œ","oe"),"æ","ae"),"à","a"),"á","a"),"â","a"),"ä","a"),"ã","a"),"ç","c"),"è","e"),"é","e"),"ê","e"),"ë","e"),"")</f>
        <v/>
      </c>
      <c r="X66" s="209" t="str">
        <f>IF(66=66,SUBSTITUTE(SUBSTITUTE(SUBSTITUTE(SUBSTITUTE(SUBSTITUTE(SUBSTITUTE(SUBSTITUTE(SUBSTITUTE(SUBSTITUTE(SUBSTITUTE(SUBSTITUTE(SUBSTITUTE(SUBSTITUTE(SUBSTITUTE(SUBSTITUTE(SUBSTITUTE($W66,"ì","i"),"í","i"),"î","i"),"ï","i"),"ñ","n"),"ò","o"),"ó","o"),"ô","o"),"ö","o"),"õ","o"),"ù","u"),"ú","u"),"û","u"),"ü","u"),"ý","y"),"ÿ","y"),"")</f>
        <v/>
      </c>
      <c r="Y66" s="209" t="str">
        <f>IF(66=66,SUBSTITUTE(SUBSTITUTE(SUBSTITUTE(SUBSTITUTE(SUBSTITUTE(SUBSTITUTE(SUBSTITUTE(SUBSTITUTE(SUBSTITUTE(SUBSTITUTE(SUBSTITUTE(SUBSTITUTE(SUBSTITUTE(SUBSTITUTE($X66,"’"," "),"`"," "),"–"," "),"—"," "),"-"," "),"'"," "),"/"," "),"_"," "),","," "),"."," "),"("," "),")"," "),";"," "),":"," "),"")</f>
        <v/>
      </c>
      <c r="Z66" s="209" t="str">
        <f>IF(66=66,SUBSTITUTE(SUBSTITUTE(SUBSTITUTE(SUBSTITUTE(SUBSTITUTE(SUBSTITUTE(SUBSTITUTE(SUBSTITUTE(SUBSTITUTE(SUBSTITUTE(SUBSTITUTE(SUBSTITUTE(SUBSTITUTE(SUBSTITUTE(SUBSTITUTE($Y66,"!"," "),"?"," "),"+"," "),"*"," "),"&amp;"," "),"["," "),"]"," "),"{"," "),"}"," "),"%"," "),"="," "),"\"," "),"|"," "),"&lt;"," "),"&gt;"," "),"")</f>
        <v/>
      </c>
      <c r="AA66" s="209" t="str">
        <f>IF(66=66," "&amp;TRIM(SUBSTITUTE(SUBSTITUTE(SUBSTITUTE(SUBSTITUTE(SUBSTITUTE(SUBSTITUTE($Z66,CHAR(34)," "),"  "," "),"  "," "),"  "," "),"  "," "),"  "," "))&amp;" ","")</f>
        <v xml:space="preserve">  </v>
      </c>
      <c r="AB66" s="209" t="str">
        <f>IF(66=66,IF($U66="","",SUMPRODUCT(--ISNUMBER(SEARCH(" "&amp;$CR$2:$CR$101&amp;" ",$AD66)))),"")</f>
        <v/>
      </c>
      <c r="AC66" s="209" t="str">
        <f>IF(66=66,IF($U66="","",SUMPRODUCT(--ISNUMBER(SEARCH(" "&amp;$CR$102:$CR$151&amp;" ",$AD66)))),"")</f>
        <v/>
      </c>
      <c r="AD66" s="209" t="str">
        <f t="shared" si="1"/>
        <v/>
      </c>
      <c r="AE66" s="209" t="str">
        <f t="shared" si="2"/>
        <v/>
      </c>
      <c r="AF66" s="209" t="str">
        <f>IF(66=66,IF($U66="","",IF(SUM(AB66:AC66)+SUMPRODUCT(--ISNUMBER(SEARCH(" "&amp;$CR$2418:$CR$2420&amp;" ",$AD66)))&gt;0,"X",IF(AE66&gt;0,"?",""))),"")</f>
        <v/>
      </c>
      <c r="AG66" s="209" t="str">
        <f>IF(66=66,IF($U66="","",SUMPRODUCT(--ISNUMBER(SEARCH(" "&amp;$CR$206:$CR$305&amp;" ",$AA66)))),"")</f>
        <v/>
      </c>
      <c r="AH66" s="209" t="str">
        <f>IF(66=66,IF($U66="","",SUMPRODUCT(--ISNUMBER(SEARCH(" "&amp;$CR$306:$CR$340&amp;" ",$AA66)))),"")</f>
        <v/>
      </c>
      <c r="AI66" s="209" t="str">
        <f>IF(66=66,IF($U66="","",IF((SUM(AG66:AH66))-(0)&gt;0,"X",IF((0)-(0)&gt;0,"?",""))),"")</f>
        <v/>
      </c>
      <c r="AJ66" s="209" t="str">
        <f>IF(66=66,IF($U66="","",SUMPRODUCT(--ISNUMBER(SEARCH(" "&amp;$CR$341:$CR$398&amp;" ",$AA66)))),"")</f>
        <v/>
      </c>
      <c r="AK66" s="209" t="str">
        <f>IF(66=66,IF($U66="","",SUMPRODUCT(--ISNUMBER(SEARCH(" "&amp;$CR$399:$CR$426&amp;" ",$AL66)))+SUMPRODUCT(--ISNUMBER(SEARCH(" "&amp;$CR$2440:$CR$2453&amp;" ",$AL66)))),"")</f>
        <v/>
      </c>
      <c r="AL66" s="209" t="str">
        <f>IF(66=66,IF($U66="","",SUBSTITUTE(SUBSTITUTE(SUBSTITUTE(SUBSTITUTE(SUBSTITUTE(SUBSTITUTE(SUBSTITUTE(SUBSTITUTE(SUBSTITUTE(SUBSTITUTE(SUBSTITUTE(SUBSTITUTE(SUBSTITUTE(SUBSTITUTE($AA66," "&amp;$CR$2455&amp;" "," ")," "&amp;$CR$433&amp;" "," ")," "&amp;$CR$431&amp;" "," ")," "&amp;$CR$2438&amp;" "," ")," "&amp;$CR$2439&amp;" "," ")," "&amp;$CR$428&amp;" "," ")," "&amp;$CR$432&amp;" "," ")," "&amp;$CR$434&amp;" "," ")," "&amp;$CR$429&amp;" "," ")," "&amp;$CR$427&amp;" "," ")," "&amp;$CR$1367&amp;" "," ")," "&amp;$CR$435&amp;" "," ")," "&amp;$CR$1366&amp;" "," ")," "&amp;$CR$430&amp;" "," ")),"")</f>
        <v/>
      </c>
      <c r="AM66" s="209" t="str">
        <f>IF(66=66,IF($U66="","",IF(AJ66&gt;0,"X",IF(AK66&gt;0,"?",""))),"")</f>
        <v/>
      </c>
      <c r="AN66" s="209" t="str">
        <f>IF(66=66,IF($U66="","",SUMPRODUCT(--ISNUMBER(SEARCH(" "&amp;$CR$436:$CR$535&amp;" ",$AX66)))),"")</f>
        <v/>
      </c>
      <c r="AO66" s="209" t="str">
        <f>IF(66=66,IF($U66="","",SUMPRODUCT(--ISNUMBER(SEARCH(" "&amp;$CR$536:$CR$635&amp;" ",$AX66)))),"")</f>
        <v/>
      </c>
      <c r="AP66" s="209" t="str">
        <f>IF(66=66,IF($U66="","",SUMPRODUCT(--ISNUMBER(SEARCH(" "&amp;$CR$636:$CR$735&amp;" ",$AX66)))),"")</f>
        <v/>
      </c>
      <c r="AQ66" s="209" t="str">
        <f>IF(66=66,IF($U66="","",SUMPRODUCT(--ISNUMBER(SEARCH(" "&amp;$CR$736:$CR$835&amp;" ",$AX66)))),"")</f>
        <v/>
      </c>
      <c r="AR66" s="209" t="str">
        <f>IF(66=66,IF($U66="","",SUMPRODUCT(--ISNUMBER(SEARCH(" "&amp;$CR$836:$CR$935&amp;" ",$AX66)))),"")</f>
        <v/>
      </c>
      <c r="AS66" s="209" t="str">
        <f>IF(66=66,IF($U66="","",SUMPRODUCT(--ISNUMBER(SEARCH(" "&amp;$CR$936:$CR$1035&amp;" ",$AX66)))),"")</f>
        <v/>
      </c>
      <c r="AT66" s="209" t="str">
        <f>IF(66=66,IF($U66="","",SUMPRODUCT(--ISNUMBER(SEARCH(" "&amp;$CR$1036:$CR$1135&amp;" ",$AX66)))),"")</f>
        <v/>
      </c>
      <c r="AU66" s="209" t="str">
        <f>IF(66=66,IF($U66="","",SUMPRODUCT(--ISNUMBER(SEARCH(" "&amp;$CR$1136:$CR$1235&amp;" ",$AX66)))),"")</f>
        <v/>
      </c>
      <c r="AV66" s="209" t="str">
        <f>IF(66=66,IF($U66="","",SUMPRODUCT(--ISNUMBER(SEARCH(" "&amp;$CR$1236:$CR$1335&amp;" ",$AX66)))),"")</f>
        <v/>
      </c>
      <c r="AW66" s="209" t="str">
        <f>IF(66=66,IF($U66="","",SUMPRODUCT(--ISNUMBER(SEARCH(" "&amp;$CR$1336:$CR$1363&amp;" ",$AX66)))),"")</f>
        <v/>
      </c>
      <c r="AX66" s="209" t="str">
        <f>IF(66=66,IF($U66="","",SUBSTITUTE(SUBSTITUTE(SUBSTITUTE(SUBSTITUTE(SUBSTITUTE(SUBSTITUTE(SUBSTITUTE(SUBSTITUTE(SUBSTITUTE($AA66," "&amp;$CR$1365&amp;" "," ")," "&amp;$CR$1364&amp;" "," ")," "&amp;$CR$1370&amp;" "," ")," "&amp;$CR$1371&amp;" "," ")," "&amp;$CR$1367&amp;" "," ")," "&amp;$CR$1369&amp;" "," ")," "&amp;$CR$1366&amp;" "," ")," "&amp;$CR$1368&amp;" "," ")," "&amp;$CR$1372&amp;" "," ")),"")</f>
        <v/>
      </c>
      <c r="AY66" s="209" t="str">
        <f>IF(66=66,IF($U66="","",SUMPRODUCT(--ISNUMBER(SEARCH(" "&amp;$CR$1373:$CR$1383&amp;" ",$AX66)))),"")</f>
        <v/>
      </c>
      <c r="AZ66" s="209" t="str">
        <f>IF(66=66,IF($U66="","",IF(SUM(AN66:AW66)+SUMPRODUCT(--ISNUMBER(SEARCH(" "&amp;$CR$2421:$CR$2422&amp;" ",$AX66)))&gt;0,"X",IF(AY66&gt;0,"?",""))),"")</f>
        <v/>
      </c>
      <c r="BA66" s="209" t="str">
        <f>IF(66=66,IF($U66="","",SUMPRODUCT(--ISNUMBER(SEARCH(" "&amp;$CR$1384:$CR$1404&amp;" ",$AA66)))),"")</f>
        <v/>
      </c>
      <c r="BB66" s="209" t="str">
        <f>IF(66=66,IF($U66="","",IF((BA66)-(0)&gt;0,"X",IF((0)-(0)&gt;0,"?",""))),"")</f>
        <v/>
      </c>
      <c r="BC66" s="209" t="str">
        <f>IF(66=66,IF($U66="","",SUMPRODUCT(--ISNUMBER(SEARCH(" "&amp;$CR$1405:$CR$1442&amp;" ",$BD66)))),"")</f>
        <v/>
      </c>
      <c r="BD66" s="209" t="str">
        <f>IF(66=66,IF($U66="","",SUBSTITUTE(SUBSTITUTE($AA66," "&amp;$CR$1443&amp;" "," ")," "&amp;$CR$1444&amp;" "," ")),"")</f>
        <v/>
      </c>
      <c r="BE66" s="209" t="str">
        <f>IF(66=66,IF($U66="","",SUMPRODUCT(--ISNUMBER(SEARCH(" "&amp;$CR$1445:$CR$1455&amp;" ",$BD66)))),"")</f>
        <v/>
      </c>
      <c r="BF66" s="209" t="str">
        <f>IF(66=66,IF($U66="","",IF(BC66&gt;0,"X",IF(BE66&gt;0,"?",""))),"")</f>
        <v/>
      </c>
      <c r="BG66" s="209" t="str">
        <f>IF(66=66,IF($U66="","",SUMPRODUCT(--ISNUMBER(SEARCH(" "&amp;$CR$1456:$CR$1555&amp;" ",$BJ66)))),"")</f>
        <v/>
      </c>
      <c r="BH66" s="209" t="str">
        <f>IF(66=66,IF($U66="","",SUMPRODUCT(--ISNUMBER(SEARCH(" "&amp;$CR$1556:$CR$1655&amp;" ",$BJ66)))),"")</f>
        <v/>
      </c>
      <c r="BI66" s="209" t="str">
        <f>IF(66=66,IF($U66="","",SUMPRODUCT(--ISNUMBER(SEARCH(" "&amp;$CR$1656:$CR$1739&amp;" ",$BJ66)))),"")</f>
        <v/>
      </c>
      <c r="BJ66" s="209" t="str">
        <f>IF(66=66,IF($U66="","",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$AA66," "&amp;$CR$2455&amp;" "," ")," "&amp;$CR$1742&amp;" "," ")," "&amp;$CR$1745&amp;" "," ")," "&amp;$CR$1783&amp;" "," ")," "&amp;$CR$1750&amp;" "," ")," "&amp;$CR$1744&amp;" "," ")," "&amp;$CR$1749&amp;" "," ")," "&amp;$CR$1751&amp;" "," ")," "&amp;$CR$1764&amp;" "," ")," "&amp;$CR$1778&amp;" "," ")," "&amp;$CR$1786&amp;" "," ")," "&amp;$CR$1743&amp;" "," ")," "&amp;$CR$1746&amp;" "," ")," "&amp;$CR$1747&amp;" "," ")," "&amp;$CR$1762&amp;" "," ")," "&amp;$CR$1765&amp;" "," ")," "&amp;$CR$1770&amp;" "," ")," "&amp;$CR$1772&amp;" "," ")," "&amp;$CR$1776&amp;" "," ")," "&amp;$CR$1748&amp;" "," ")," "&amp;$CR$1758&amp;" "," ")," "&amp;$CR$1759&amp;" "," ")," "&amp;$CR$1760&amp;" "," ")," "&amp;$CR$1761&amp;" "," ")," "&amp;$CR$1768&amp;" "," ")," "&amp;$CR$1779&amp;" "," ")," "&amp;$CR$1785&amp;" "," ")," "&amp;$CR$1740&amp;" "," ")," "&amp;$CR$1752&amp;" "," ")," "&amp;$CR$1754&amp;" "," ")," "&amp;$CR$1756&amp;" "," ")," "&amp;$CR$1763&amp;" "," ")," "&amp;$CR$1767&amp;" "," ")," "&amp;$CR$1771&amp;" "," ")," "&amp;$CR$1773&amp;" "," ")," "&amp;$CR$1774&amp;" "," ")," "&amp;$CR$1775&amp;" "," ")," "&amp;$CR$1787&amp;" "," ")," "&amp;$CR$1755&amp;" "," ")," "&amp;$CR$1757&amp;" "," ")," "&amp;$CR$1766&amp;" "," ")," "&amp;$CR$1777&amp;" "," ")," "&amp;$CR$1781&amp;" "," ")," "&amp;$CR$1782&amp;" "," ")," "&amp;$CR$1741&amp;" "," ")," "&amp;$CR$1753&amp;" "," ")," "&amp;$CR$1780&amp;" "," ")," "&amp;$CR$1788&amp;" "," ")," "&amp;$CR$1769&amp;" "," ")," "&amp;$CR$1784&amp;" "," ")," "&amp;$CR$1789&amp;" "," ")),"")</f>
        <v/>
      </c>
      <c r="BK66" s="209" t="str">
        <f>IF(66=66,IF($U66="","",SUMPRODUCT(--ISNUMBER(SEARCH(" "&amp;$CR$1790:$CR$1869&amp;" ",$BL66)))+SUMPRODUCT(--ISNUMBER(SEARCH(" "&amp;$CR$2440:$CR$2453&amp;" ",$BL66)))),"")</f>
        <v/>
      </c>
      <c r="BL66" s="209" t="str">
        <f>IF(66=66,IF($U66="","",SUBSTITUTE(SUBSTITUTE(SUBSTITUTE(SUBSTITUTE(SUBSTITUTE(SUBSTITUTE(SUBSTITUTE(SUBSTITUTE(SUBSTITUTE(SUBSTITUTE(SUBSTITUTE(SUBSTITUTE(SUBSTITUTE($BJ66," "&amp;$CR$1876&amp;" "," ")," "&amp;$CR$1874&amp;" "," ")," "&amp;$CR$2438&amp;" "," ")," "&amp;$CR$2439&amp;" "," ")," "&amp;$CR$1871&amp;" "," ")," "&amp;$CR$1875&amp;" "," ")," "&amp;$CR$1877&amp;" "," ")," "&amp;$CR$1872&amp;" "," ")," "&amp;$CR$1870&amp;" "," ")," "&amp;$CR$1367&amp;" "," ")," "&amp;$CR$1878&amp;" "," ")," "&amp;$CR$1366&amp;" "," ")," "&amp;$CR$1873&amp;" "," ")),"")</f>
        <v/>
      </c>
      <c r="BM66" s="209" t="str">
        <f>IF(66=66,IF($U66="","",IF(SUM(BG66:BI66)+SUMPRODUCT(--ISNUMBER(SEARCH(" "&amp;$CR$2423:$CR$2424&amp;" ",$BJ66)))&gt;0,"X",IF(BK66&gt;0,"?",""))),"")</f>
        <v/>
      </c>
      <c r="BN66" s="209" t="str">
        <f>IF(66=66,IF($U66="","",SUMPRODUCT(--ISNUMBER(SEARCH(" "&amp;$CR$1879:$CR$1936&amp;" ",$BO66)))),"")</f>
        <v/>
      </c>
      <c r="BO66" s="209" t="str">
        <f>IF(66=66,IF($U66="","",SUBSTITUTE(SUBSTITUTE(SUBSTITUTE(SUBSTITUTE(SUBSTITUTE(SUBSTITUTE(SUBSTITUTE(SUBSTITUTE(SUBSTITUTE(SUBSTITUTE(SUBSTITUTE(SUBSTITUTE(SUBSTITUTE(SUBSTITUTE(SUBSTITUTE(SUBSTITUTE(SUBSTITUTE(SUBSTITUTE(SUBSTITUTE(SUBSTITUTE(SUBSTITUTE(SUBSTITUTE(SUBSTITUTE($AA66," "&amp;$CR$1954&amp;" "," ")," "&amp;$CR$1955&amp;" "," ")," "&amp;$CR$1953&amp;" "," ")," "&amp;$CR$1938&amp;" "," ")," "&amp;$CR$1937&amp;" "," ")," "&amp;$CR$1941&amp;" "," ")," "&amp;$CR$1943&amp;" "," ")," "&amp;$CR$1944&amp;" "," ")," "&amp;$CR$1949&amp;" "," ")," "&amp;$CR$1958&amp;" "," ")," "&amp;$CR$1945&amp;" "," ")," "&amp;$CR$1950&amp;" "," ")," "&amp;$CR$1951&amp;" "," ")," "&amp;$CR$1952&amp;" "," ")," "&amp;$CR$1956&amp;" "," ")," "&amp;$CR$1942&amp;" "," ")," "&amp;$CR$1940&amp;" "," ")," "&amp;$CR$1939&amp;" "," ")," "&amp;$CR$1947&amp;" "," ")," "&amp;$CR$1948&amp;" "," ")," "&amp;$CR$1959&amp;" "," ")," "&amp;$CR$1946&amp;" "," ")," "&amp;$CR$1957&amp;" "," ")),"")</f>
        <v/>
      </c>
      <c r="BP66" s="209" t="str">
        <f>IF(66=66,IF($U66="","",SUMPRODUCT(--ISNUMBER(SEARCH(" "&amp;$CR$1960:$CR$1976&amp;" ",$BO66)))),"")</f>
        <v/>
      </c>
      <c r="BQ66" s="209" t="str">
        <f>IF(66=66,IF($U66="","",IF(BN66&gt;0,"X",IF(BP66&gt;0,"?",""))),"")</f>
        <v/>
      </c>
      <c r="BR66" s="209" t="str">
        <f>IF(66=66,IF($U66="","",SUMPRODUCT(--ISNUMBER(SEARCH(" "&amp;$CR$1977:$CR$1990&amp;" ",$AA66)))),"")</f>
        <v/>
      </c>
      <c r="BS66" s="209" t="str">
        <f>IF(66=66,IF($U66="","",SUMPRODUCT(--ISNUMBER(SEARCH(" "&amp;$CR$1991:$CR$2005&amp;" ",$AA66)))),"")</f>
        <v/>
      </c>
      <c r="BT66" s="209" t="str">
        <f>IF(66=66,IF($U66="","",IF((BR66)-(0)&gt;0,"X",IF((BS66)-(0)&gt;0,"?",""))),"")</f>
        <v/>
      </c>
      <c r="BU66" s="209" t="str">
        <f>IF(66=66,IF($U66="","",SUMPRODUCT(--ISNUMBER(SEARCH(" "&amp;$CR$2006:$CR$2023&amp;" ",$AA66)))),"")</f>
        <v/>
      </c>
      <c r="BV66" s="209" t="str">
        <f>IF(66=66,IF($U66="","",SUMPRODUCT(--ISNUMBER(SEARCH(" "&amp;$CR$2024:$CR$2038&amp;" ",$AA66)))),"")</f>
        <v/>
      </c>
      <c r="BW66" s="209" t="str">
        <f>IF(66=66,IF($U66="","",IF((BU66)-(0)&gt;0,"X",IF((BV66)-(0)&gt;0,"?",""))),"")</f>
        <v/>
      </c>
      <c r="BX66" s="209" t="str">
        <f>IF(66=66,IF($U66="","",SUMPRODUCT(--ISNUMBER(SEARCH(" "&amp;$CR$2039:$CR$2057&amp;" ",$AA66)))),"")</f>
        <v/>
      </c>
      <c r="BY66" s="209" t="str">
        <f>IF(66=66,IF($U66="","",SUMPRODUCT(--ISNUMBER(SEARCH(" "&amp;$CR$2058:$CR$2072&amp;" ",$AA66)))),"")</f>
        <v/>
      </c>
      <c r="BZ66" s="209" t="str">
        <f>IF(66=66,IF($U66="","",IF((BX66)-(0)&gt;0,"X",IF((BY66)-(0)&gt;0,"?",""))),"")</f>
        <v/>
      </c>
      <c r="CA66" s="209" t="str">
        <f>IF(66=66,IF($U66="","",SUMPRODUCT(--ISNUMBER(SEARCH(" "&amp;$CR$2073:$CR$2093&amp;" ",$AA66)))),"")</f>
        <v/>
      </c>
      <c r="CB66" s="209" t="str">
        <f>IF(66=66,IF($U66="","",SUMPRODUCT(--ISNUMBER(SEARCH(" "&amp;$CR$2094:$CR$2133&amp;" ",SUBSTITUTE(SUBSTITUTE($AA66," "&amp;$CR$1367&amp;" "," ")," "&amp;$CR$1366&amp;" "," "))))+--ISNUMBER(SEARCH("poiré",$V66))),"")</f>
        <v/>
      </c>
      <c r="CC66" s="209" t="str">
        <f>IF(66=66,IF($U66="","",IF(OR(CA66&gt;0,ISNUMBER(SEARCH(" vinaigre de vin ",$AA66)),ISNUMBER(SEARCH(" vinaigre au vin ",$AA66))),"X",IF(CB66&gt;0,"?",""))),"")</f>
        <v/>
      </c>
      <c r="CD66" s="209" t="str">
        <f>IF(66=66,IF($U66="","",SUMPRODUCT(--ISNUMBER(SEARCH(" "&amp;$CR$2134:$CR$2146&amp;" ",$AA66)))),"")</f>
        <v/>
      </c>
      <c r="CE66" s="209" t="str">
        <f>IF(66=66,IF($U66="","",SUMPRODUCT(--ISNUMBER(SEARCH(" "&amp;$CR$2147:$CR$2152&amp;" ",$AA66)))),"")</f>
        <v/>
      </c>
      <c r="CF66" s="209" t="str">
        <f>IF(66=66,IF($U66="","",IF((CD66)-(0)&gt;0,"X",IF((CE66)-(0)&gt;0,"?",""))),"")</f>
        <v/>
      </c>
      <c r="CG66" s="209" t="str">
        <f>IF(66=66,IF($U66="","",SUMPRODUCT(--ISNUMBER(SEARCH(" "&amp;$CR$2153:$CR$2252&amp;" ",$CJ66)))),"")</f>
        <v/>
      </c>
      <c r="CH66" s="209" t="str">
        <f>IF(66=66,IF($U66="","",SUMPRODUCT(--ISNUMBER(SEARCH(" "&amp;$CR$2253:$CR$2352&amp;" ",$CJ66)))),"")</f>
        <v/>
      </c>
      <c r="CI66" s="209" t="str">
        <f>IF(66=66,IF($U66="","",SUMPRODUCT(--ISNUMBER(SEARCH(" "&amp;$CR$2353:$CR$2395&amp;" ",$CJ66)))),"")</f>
        <v/>
      </c>
      <c r="CJ66" s="209" t="str">
        <f>IF(66=66,IF($U66="","",SUBSTITUTE(SUBSTITUTE(SUBSTITUTE(SUBSTITUTE(SUBSTITUTE(SUBSTITUTE(SUBSTITUTE(SUBSTITUTE(SUBSTITUTE(SUBSTITUTE(SUBSTITUTE(SUBSTITUTE(SUBSTITUTE(SUBSTITUTE(SUBSTITUTE(SUBSTITUTE($AA66," "&amp;$CR$2401&amp;" "," ")," "&amp;$CR$2400&amp;" "," ")," "&amp;$CR$2399&amp;" "," ")," "&amp;$CR$2406&amp;" "," ")," "&amp;$CR$2398&amp;" "," ")," "&amp;$CR$2410&amp;" "," ")," "&amp;$CR$2397&amp;" "," ")," "&amp;$CR$2402&amp;" "," ")," "&amp;$CR$2405&amp;" "," ")," "&amp;$CR$2396&amp;" "," ")," "&amp;$CR$2404&amp;" "," ")," "&amp;$CR$2411&amp;" "," ")," "&amp;$CR$2408&amp;" "," ")," "&amp;$CR$2403&amp;" "," ")," "&amp;$CR$2407&amp;" "," ")," "&amp;$CR$2409&amp;" "," ")),"")</f>
        <v/>
      </c>
      <c r="CK66" s="209" t="str">
        <f>IF(66=66,IF($U66="","",SUMPRODUCT(--ISNUMBER(SEARCH(" "&amp;$CR$2412:$CR$2416&amp;" ",$CJ66)))),"")</f>
        <v/>
      </c>
      <c r="CL66" s="209" t="str">
        <f>IF(66=66,IF($U66="","",IF(SUM(CG66:CI66)&gt;0,"X",IF(CK66&gt;0,"?",""))),"")</f>
        <v/>
      </c>
      <c r="CM66" s="210"/>
      <c r="CN66" s="213" t="s">
        <v>1115</v>
      </c>
      <c r="CO66" s="213" t="s">
        <v>878</v>
      </c>
      <c r="CP66" s="213" t="s">
        <v>879</v>
      </c>
      <c r="CQ66" s="213" t="s">
        <v>1116</v>
      </c>
      <c r="CR66" s="213" t="s">
        <v>1117</v>
      </c>
      <c r="CS66" s="213" t="s">
        <v>881</v>
      </c>
      <c r="CT66" s="213" t="s">
        <v>882</v>
      </c>
      <c r="CU66" s="213" t="s">
        <v>883</v>
      </c>
      <c r="CV66" s="214" t="s">
        <v>884</v>
      </c>
      <c r="CX66" s="212">
        <v>1</v>
      </c>
    </row>
    <row r="67" spans="1:102" ht="21" customHeight="1">
      <c r="A67" s="215"/>
      <c r="B67" s="241"/>
      <c r="C67" s="242"/>
      <c r="D67" s="242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CM67" s="210"/>
      <c r="CN67" s="213" t="s">
        <v>1118</v>
      </c>
      <c r="CO67" s="213" t="s">
        <v>878</v>
      </c>
      <c r="CP67" s="213" t="s">
        <v>879</v>
      </c>
      <c r="CQ67" s="213" t="s">
        <v>1119</v>
      </c>
      <c r="CR67" s="213" t="s">
        <v>1119</v>
      </c>
      <c r="CS67" s="213" t="s">
        <v>881</v>
      </c>
      <c r="CT67" s="213" t="s">
        <v>882</v>
      </c>
      <c r="CU67" s="213" t="s">
        <v>883</v>
      </c>
      <c r="CV67" s="214" t="s">
        <v>884</v>
      </c>
      <c r="CX67" s="212">
        <v>1</v>
      </c>
    </row>
    <row r="68" spans="1:102" ht="21" customHeight="1">
      <c r="A68" s="215"/>
      <c r="B68" s="241"/>
      <c r="C68" s="242"/>
      <c r="D68" s="242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15"/>
      <c r="R68" s="215"/>
      <c r="S68" s="215"/>
      <c r="CM68" s="210"/>
      <c r="CN68" s="213" t="s">
        <v>1120</v>
      </c>
      <c r="CO68" s="213" t="s">
        <v>878</v>
      </c>
      <c r="CP68" s="213" t="s">
        <v>879</v>
      </c>
      <c r="CQ68" s="213" t="s">
        <v>1121</v>
      </c>
      <c r="CR68" s="213" t="s">
        <v>1122</v>
      </c>
      <c r="CS68" s="213" t="s">
        <v>881</v>
      </c>
      <c r="CT68" s="213" t="s">
        <v>882</v>
      </c>
      <c r="CU68" s="213" t="s">
        <v>883</v>
      </c>
      <c r="CV68" s="214" t="s">
        <v>884</v>
      </c>
      <c r="CX68" s="212">
        <v>1</v>
      </c>
    </row>
    <row r="69" spans="1:102" ht="21" customHeight="1">
      <c r="A69" s="215"/>
      <c r="B69" s="241"/>
      <c r="C69" s="242"/>
      <c r="D69" s="242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CM69" s="210"/>
      <c r="CN69" s="213" t="s">
        <v>1123</v>
      </c>
      <c r="CO69" s="213" t="s">
        <v>878</v>
      </c>
      <c r="CP69" s="213" t="s">
        <v>879</v>
      </c>
      <c r="CQ69" s="213" t="s">
        <v>1124</v>
      </c>
      <c r="CR69" s="213" t="s">
        <v>1125</v>
      </c>
      <c r="CS69" s="213" t="s">
        <v>881</v>
      </c>
      <c r="CT69" s="213" t="s">
        <v>882</v>
      </c>
      <c r="CU69" s="213" t="s">
        <v>883</v>
      </c>
      <c r="CV69" s="214" t="s">
        <v>884</v>
      </c>
      <c r="CX69" s="212">
        <v>1</v>
      </c>
    </row>
    <row r="70" spans="1:102" ht="21" customHeight="1">
      <c r="A70" s="766" t="s">
        <v>1126</v>
      </c>
      <c r="B70" s="766"/>
      <c r="C70" s="766"/>
      <c r="D70" s="766"/>
      <c r="E70" s="766"/>
      <c r="F70" s="766"/>
      <c r="G70" s="766"/>
      <c r="H70" s="766"/>
      <c r="I70" s="766"/>
      <c r="J70" s="766"/>
      <c r="K70" s="766"/>
      <c r="L70" s="766"/>
      <c r="M70" s="766"/>
      <c r="N70" s="766"/>
      <c r="O70" s="766"/>
      <c r="P70" s="766"/>
      <c r="Q70" s="766"/>
      <c r="R70" s="766"/>
      <c r="S70" s="766"/>
      <c r="CM70" s="210"/>
      <c r="CN70" s="213" t="s">
        <v>1127</v>
      </c>
      <c r="CO70" s="213" t="s">
        <v>878</v>
      </c>
      <c r="CP70" s="213" t="s">
        <v>879</v>
      </c>
      <c r="CQ70" s="213" t="s">
        <v>1128</v>
      </c>
      <c r="CR70" s="213" t="s">
        <v>1128</v>
      </c>
      <c r="CS70" s="213" t="s">
        <v>881</v>
      </c>
      <c r="CT70" s="213" t="s">
        <v>882</v>
      </c>
      <c r="CU70" s="213" t="s">
        <v>883</v>
      </c>
      <c r="CV70" s="214" t="s">
        <v>884</v>
      </c>
      <c r="CX70" s="212">
        <v>1</v>
      </c>
    </row>
    <row r="71" spans="1:102" ht="21" customHeight="1">
      <c r="A71" s="215"/>
      <c r="B71" s="241"/>
      <c r="C71" s="262"/>
      <c r="D71" s="242"/>
      <c r="E71" s="215"/>
      <c r="F71" s="215"/>
      <c r="G71" s="215"/>
      <c r="H71" s="215"/>
      <c r="I71" s="215"/>
      <c r="J71" s="215"/>
      <c r="K71" s="215"/>
      <c r="L71" s="215"/>
      <c r="M71" s="215"/>
      <c r="N71" s="215"/>
      <c r="O71" s="215"/>
      <c r="P71" s="215"/>
      <c r="Q71" s="215"/>
      <c r="R71" s="215"/>
      <c r="S71" s="215"/>
      <c r="CM71" s="210"/>
      <c r="CN71" s="213" t="s">
        <v>1129</v>
      </c>
      <c r="CO71" s="213" t="s">
        <v>878</v>
      </c>
      <c r="CP71" s="213" t="s">
        <v>879</v>
      </c>
      <c r="CQ71" s="213" t="s">
        <v>1130</v>
      </c>
      <c r="CR71" s="213" t="s">
        <v>1130</v>
      </c>
      <c r="CS71" s="213" t="s">
        <v>881</v>
      </c>
      <c r="CT71" s="213" t="s">
        <v>882</v>
      </c>
      <c r="CU71" s="213" t="s">
        <v>883</v>
      </c>
      <c r="CV71" s="214" t="s">
        <v>884</v>
      </c>
      <c r="CX71" s="212">
        <v>1</v>
      </c>
    </row>
    <row r="72" spans="1:102" ht="21" customHeight="1">
      <c r="A72" s="215"/>
      <c r="B72" s="241"/>
      <c r="C72" s="708" t="s">
        <v>1131</v>
      </c>
      <c r="D72" s="242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CM72" s="210"/>
      <c r="CN72" s="213" t="s">
        <v>1132</v>
      </c>
      <c r="CO72" s="213" t="s">
        <v>878</v>
      </c>
      <c r="CP72" s="213" t="s">
        <v>879</v>
      </c>
      <c r="CQ72" s="213" t="s">
        <v>1133</v>
      </c>
      <c r="CR72" s="213" t="s">
        <v>1133</v>
      </c>
      <c r="CS72" s="213" t="s">
        <v>881</v>
      </c>
      <c r="CT72" s="213" t="s">
        <v>882</v>
      </c>
      <c r="CU72" s="213" t="s">
        <v>883</v>
      </c>
      <c r="CV72" s="214" t="s">
        <v>884</v>
      </c>
      <c r="CX72" s="212">
        <v>1</v>
      </c>
    </row>
    <row r="73" spans="1:102" ht="21" customHeight="1">
      <c r="A73" s="215"/>
      <c r="B73" s="241"/>
      <c r="C73" s="708" t="s">
        <v>7244</v>
      </c>
      <c r="D73" s="242"/>
      <c r="E73" s="215"/>
      <c r="F73" s="215"/>
      <c r="G73" s="215"/>
      <c r="H73" s="215"/>
      <c r="I73" s="215"/>
      <c r="J73" s="215"/>
      <c r="K73" s="215"/>
      <c r="L73" s="215"/>
      <c r="M73" s="215"/>
      <c r="N73" s="215"/>
      <c r="O73" s="215"/>
      <c r="P73" s="215"/>
      <c r="Q73" s="215"/>
      <c r="R73" s="215"/>
      <c r="S73" s="215"/>
      <c r="CM73" s="210"/>
      <c r="CN73" s="213" t="s">
        <v>1134</v>
      </c>
      <c r="CO73" s="213" t="s">
        <v>878</v>
      </c>
      <c r="CP73" s="213" t="s">
        <v>879</v>
      </c>
      <c r="CQ73" s="213" t="s">
        <v>1135</v>
      </c>
      <c r="CR73" s="213" t="s">
        <v>1135</v>
      </c>
      <c r="CS73" s="213" t="s">
        <v>881</v>
      </c>
      <c r="CT73" s="213" t="s">
        <v>882</v>
      </c>
      <c r="CU73" s="213" t="s">
        <v>883</v>
      </c>
      <c r="CV73" s="214" t="s">
        <v>884</v>
      </c>
      <c r="CX73" s="212">
        <v>1</v>
      </c>
    </row>
    <row r="74" spans="1:102" ht="21" customHeight="1">
      <c r="A74" s="215"/>
      <c r="B74" s="241"/>
      <c r="C74" s="708" t="s">
        <v>7245</v>
      </c>
      <c r="D74" s="242"/>
      <c r="E74" s="215"/>
      <c r="F74" s="215"/>
      <c r="G74" s="215"/>
      <c r="H74" s="215"/>
      <c r="I74" s="215"/>
      <c r="J74" s="215"/>
      <c r="K74" s="215"/>
      <c r="L74" s="215"/>
      <c r="M74" s="215"/>
      <c r="N74" s="215"/>
      <c r="O74" s="215"/>
      <c r="P74" s="215"/>
      <c r="Q74" s="215"/>
      <c r="R74" s="215"/>
      <c r="S74" s="215"/>
      <c r="CM74" s="210"/>
      <c r="CN74" s="213" t="s">
        <v>1136</v>
      </c>
      <c r="CO74" s="213" t="s">
        <v>878</v>
      </c>
      <c r="CP74" s="213" t="s">
        <v>879</v>
      </c>
      <c r="CQ74" s="213" t="s">
        <v>1137</v>
      </c>
      <c r="CR74" s="213" t="s">
        <v>1137</v>
      </c>
      <c r="CS74" s="213" t="s">
        <v>881</v>
      </c>
      <c r="CT74" s="213" t="s">
        <v>882</v>
      </c>
      <c r="CU74" s="213" t="s">
        <v>883</v>
      </c>
      <c r="CV74" s="214" t="s">
        <v>884</v>
      </c>
      <c r="CX74" s="212">
        <v>1</v>
      </c>
    </row>
    <row r="75" spans="1:102" ht="21" customHeight="1">
      <c r="A75" s="215"/>
      <c r="B75" s="241"/>
      <c r="C75" s="708" t="s">
        <v>7246</v>
      </c>
      <c r="D75" s="242"/>
      <c r="E75" s="215"/>
      <c r="F75" s="215"/>
      <c r="G75" s="215"/>
      <c r="H75" s="215"/>
      <c r="I75" s="215"/>
      <c r="J75" s="215"/>
      <c r="K75" s="215"/>
      <c r="L75" s="215"/>
      <c r="M75" s="215"/>
      <c r="N75" s="215"/>
      <c r="O75" s="215"/>
      <c r="P75" s="215"/>
      <c r="Q75" s="215"/>
      <c r="R75" s="215"/>
      <c r="S75" s="215"/>
      <c r="CM75" s="210"/>
      <c r="CN75" s="213" t="s">
        <v>1138</v>
      </c>
      <c r="CO75" s="213" t="s">
        <v>878</v>
      </c>
      <c r="CP75" s="213" t="s">
        <v>879</v>
      </c>
      <c r="CQ75" s="213" t="s">
        <v>1139</v>
      </c>
      <c r="CR75" s="213" t="s">
        <v>1139</v>
      </c>
      <c r="CS75" s="213" t="s">
        <v>881</v>
      </c>
      <c r="CT75" s="213" t="s">
        <v>882</v>
      </c>
      <c r="CU75" s="213" t="s">
        <v>883</v>
      </c>
      <c r="CV75" s="214" t="s">
        <v>884</v>
      </c>
      <c r="CX75" s="212">
        <v>1</v>
      </c>
    </row>
    <row r="76" spans="1:102" ht="21" customHeight="1">
      <c r="A76" s="215"/>
      <c r="B76" s="241"/>
      <c r="C76" s="708" t="s">
        <v>7247</v>
      </c>
      <c r="D76" s="242"/>
      <c r="E76" s="215"/>
      <c r="F76" s="215"/>
      <c r="G76" s="215"/>
      <c r="H76" s="215"/>
      <c r="I76" s="215"/>
      <c r="J76" s="215"/>
      <c r="K76" s="215"/>
      <c r="L76" s="215"/>
      <c r="M76" s="215"/>
      <c r="N76" s="215"/>
      <c r="O76" s="215"/>
      <c r="P76" s="215"/>
      <c r="Q76" s="215"/>
      <c r="R76" s="215"/>
      <c r="S76" s="215"/>
      <c r="CM76" s="210"/>
      <c r="CN76" s="213" t="s">
        <v>1140</v>
      </c>
      <c r="CO76" s="213" t="s">
        <v>878</v>
      </c>
      <c r="CP76" s="213" t="s">
        <v>879</v>
      </c>
      <c r="CQ76" s="213" t="s">
        <v>1141</v>
      </c>
      <c r="CR76" s="213" t="s">
        <v>1141</v>
      </c>
      <c r="CS76" s="213" t="s">
        <v>881</v>
      </c>
      <c r="CT76" s="213" t="s">
        <v>882</v>
      </c>
      <c r="CU76" s="213" t="s">
        <v>883</v>
      </c>
      <c r="CV76" s="214" t="s">
        <v>884</v>
      </c>
      <c r="CX76" s="212">
        <v>1</v>
      </c>
    </row>
    <row r="77" spans="1:102" ht="21" customHeight="1">
      <c r="A77" s="215"/>
      <c r="B77" s="241"/>
      <c r="C77" s="708" t="s">
        <v>7248</v>
      </c>
      <c r="D77" s="242"/>
      <c r="E77" s="215"/>
      <c r="F77" s="215"/>
      <c r="G77" s="215"/>
      <c r="H77" s="215"/>
      <c r="I77" s="215"/>
      <c r="J77" s="215"/>
      <c r="K77" s="215"/>
      <c r="L77" s="215"/>
      <c r="M77" s="215"/>
      <c r="N77" s="215"/>
      <c r="O77" s="215"/>
      <c r="P77" s="215"/>
      <c r="Q77" s="215"/>
      <c r="R77" s="215"/>
      <c r="S77" s="215"/>
      <c r="CM77" s="210"/>
      <c r="CN77" s="213" t="s">
        <v>1142</v>
      </c>
      <c r="CO77" s="213" t="s">
        <v>878</v>
      </c>
      <c r="CP77" s="213" t="s">
        <v>879</v>
      </c>
      <c r="CQ77" s="213" t="s">
        <v>1143</v>
      </c>
      <c r="CR77" s="213" t="s">
        <v>1143</v>
      </c>
      <c r="CS77" s="213" t="s">
        <v>881</v>
      </c>
      <c r="CT77" s="213" t="s">
        <v>882</v>
      </c>
      <c r="CU77" s="213" t="s">
        <v>883</v>
      </c>
      <c r="CV77" s="214" t="s">
        <v>884</v>
      </c>
      <c r="CX77" s="212">
        <v>1</v>
      </c>
    </row>
    <row r="78" spans="1:102" ht="21" customHeight="1">
      <c r="A78" s="215"/>
      <c r="B78" s="241"/>
      <c r="C78" s="285" t="s">
        <v>7249</v>
      </c>
      <c r="D78" s="242"/>
      <c r="E78" s="215"/>
      <c r="F78" s="215"/>
      <c r="G78" s="215"/>
      <c r="H78" s="215"/>
      <c r="I78" s="215"/>
      <c r="J78" s="215"/>
      <c r="K78" s="215"/>
      <c r="L78" s="215"/>
      <c r="M78" s="215"/>
      <c r="N78" s="215"/>
      <c r="O78" s="215"/>
      <c r="P78" s="215"/>
      <c r="Q78" s="215"/>
      <c r="R78" s="215"/>
      <c r="S78" s="215"/>
      <c r="CM78" s="210"/>
      <c r="CN78" s="213" t="s">
        <v>1144</v>
      </c>
      <c r="CO78" s="213" t="s">
        <v>878</v>
      </c>
      <c r="CP78" s="213" t="s">
        <v>879</v>
      </c>
      <c r="CQ78" s="213" t="s">
        <v>1145</v>
      </c>
      <c r="CR78" s="213" t="s">
        <v>1145</v>
      </c>
      <c r="CS78" s="213" t="s">
        <v>881</v>
      </c>
      <c r="CT78" s="213" t="s">
        <v>882</v>
      </c>
      <c r="CU78" s="213" t="s">
        <v>883</v>
      </c>
      <c r="CV78" s="214" t="s">
        <v>884</v>
      </c>
      <c r="CX78" s="212">
        <v>1</v>
      </c>
    </row>
    <row r="79" spans="1:102" ht="21" customHeight="1">
      <c r="A79" s="215"/>
      <c r="B79" s="241"/>
      <c r="C79" s="285" t="s">
        <v>7250</v>
      </c>
      <c r="D79" s="242"/>
      <c r="E79" s="215"/>
      <c r="F79" s="215"/>
      <c r="G79" s="215"/>
      <c r="H79" s="215"/>
      <c r="I79" s="215"/>
      <c r="J79" s="215"/>
      <c r="K79" s="215"/>
      <c r="L79" s="215"/>
      <c r="M79" s="215"/>
      <c r="N79" s="215"/>
      <c r="O79" s="215"/>
      <c r="P79" s="215"/>
      <c r="Q79" s="215"/>
      <c r="R79" s="215"/>
      <c r="S79" s="215"/>
      <c r="CM79" s="210"/>
      <c r="CN79" s="213" t="s">
        <v>1146</v>
      </c>
      <c r="CO79" s="213" t="s">
        <v>878</v>
      </c>
      <c r="CP79" s="213" t="s">
        <v>879</v>
      </c>
      <c r="CQ79" s="213" t="s">
        <v>1147</v>
      </c>
      <c r="CR79" s="213" t="s">
        <v>1148</v>
      </c>
      <c r="CS79" s="213" t="s">
        <v>881</v>
      </c>
      <c r="CT79" s="213" t="s">
        <v>1149</v>
      </c>
      <c r="CU79" s="213" t="s">
        <v>1150</v>
      </c>
      <c r="CV79" s="214" t="s">
        <v>973</v>
      </c>
      <c r="CX79" s="212">
        <v>1</v>
      </c>
    </row>
    <row r="80" spans="1:102" ht="21" customHeight="1">
      <c r="A80" s="766" t="s">
        <v>1151</v>
      </c>
      <c r="B80" s="766"/>
      <c r="C80" s="766"/>
      <c r="D80" s="766"/>
      <c r="E80" s="766"/>
      <c r="F80" s="766"/>
      <c r="G80" s="766"/>
      <c r="H80" s="766"/>
      <c r="I80" s="766"/>
      <c r="J80" s="766"/>
      <c r="K80" s="766"/>
      <c r="L80" s="766"/>
      <c r="M80" s="766"/>
      <c r="N80" s="766"/>
      <c r="O80" s="766"/>
      <c r="P80" s="766"/>
      <c r="Q80" s="766"/>
      <c r="R80" s="766"/>
      <c r="S80" s="766"/>
      <c r="CM80" s="210"/>
      <c r="CN80" s="213" t="s">
        <v>1152</v>
      </c>
      <c r="CO80" s="213" t="s">
        <v>878</v>
      </c>
      <c r="CP80" s="213" t="s">
        <v>879</v>
      </c>
      <c r="CQ80" s="213" t="s">
        <v>1153</v>
      </c>
      <c r="CR80" s="213" t="s">
        <v>1153</v>
      </c>
      <c r="CS80" s="213" t="s">
        <v>881</v>
      </c>
      <c r="CT80" s="213" t="s">
        <v>882</v>
      </c>
      <c r="CU80" s="213" t="s">
        <v>883</v>
      </c>
      <c r="CV80" s="214" t="s">
        <v>884</v>
      </c>
      <c r="CX80" s="212">
        <v>1</v>
      </c>
    </row>
    <row r="81" spans="1:102" ht="21" customHeight="1">
      <c r="A81" s="243" t="s">
        <v>1154</v>
      </c>
      <c r="B81" s="244" t="s">
        <v>1155</v>
      </c>
      <c r="C81" s="245" t="s">
        <v>1156</v>
      </c>
      <c r="D81" s="246" t="s">
        <v>1157</v>
      </c>
      <c r="E81" s="215"/>
      <c r="F81" s="215"/>
      <c r="G81" s="215"/>
      <c r="H81" s="215"/>
      <c r="I81" s="215"/>
      <c r="J81" s="215"/>
      <c r="K81" s="215"/>
      <c r="L81" s="215"/>
      <c r="M81" s="215"/>
      <c r="N81" s="215"/>
      <c r="O81" s="215"/>
      <c r="P81" s="215"/>
      <c r="Q81" s="215"/>
      <c r="R81" s="215"/>
      <c r="S81" s="215"/>
      <c r="CM81" s="210"/>
      <c r="CN81" s="213" t="s">
        <v>1158</v>
      </c>
      <c r="CO81" s="213" t="s">
        <v>878</v>
      </c>
      <c r="CP81" s="213" t="s">
        <v>879</v>
      </c>
      <c r="CQ81" s="213" t="s">
        <v>1159</v>
      </c>
      <c r="CR81" s="213" t="s">
        <v>1159</v>
      </c>
      <c r="CS81" s="213" t="s">
        <v>881</v>
      </c>
      <c r="CT81" s="213" t="s">
        <v>882</v>
      </c>
      <c r="CU81" s="213" t="s">
        <v>883</v>
      </c>
      <c r="CV81" s="214" t="s">
        <v>884</v>
      </c>
      <c r="CX81" s="212">
        <v>1</v>
      </c>
    </row>
    <row r="82" spans="1:102" ht="21" customHeight="1">
      <c r="A82" s="247">
        <v>1</v>
      </c>
      <c r="B82" s="248" t="s">
        <v>1160</v>
      </c>
      <c r="C82" s="249" t="s">
        <v>1161</v>
      </c>
      <c r="D82" s="250" t="s">
        <v>1162</v>
      </c>
      <c r="E82" s="215"/>
      <c r="F82" s="215"/>
      <c r="G82" s="215"/>
      <c r="H82" s="215"/>
      <c r="I82" s="215"/>
      <c r="J82" s="215"/>
      <c r="K82" s="215"/>
      <c r="L82" s="215"/>
      <c r="M82" s="215"/>
      <c r="N82" s="215"/>
      <c r="O82" s="215"/>
      <c r="P82" s="215"/>
      <c r="Q82" s="215"/>
      <c r="R82" s="215"/>
      <c r="S82" s="215"/>
      <c r="CM82" s="210"/>
      <c r="CN82" s="213" t="s">
        <v>1163</v>
      </c>
      <c r="CO82" s="213" t="s">
        <v>878</v>
      </c>
      <c r="CP82" s="213" t="s">
        <v>879</v>
      </c>
      <c r="CQ82" s="213" t="s">
        <v>1164</v>
      </c>
      <c r="CR82" s="213" t="s">
        <v>1164</v>
      </c>
      <c r="CS82" s="213" t="s">
        <v>881</v>
      </c>
      <c r="CT82" s="213" t="s">
        <v>882</v>
      </c>
      <c r="CU82" s="213" t="s">
        <v>883</v>
      </c>
      <c r="CV82" s="214" t="s">
        <v>884</v>
      </c>
      <c r="CX82" s="212">
        <v>1</v>
      </c>
    </row>
    <row r="83" spans="1:102" ht="21" customHeight="1">
      <c r="A83" s="247">
        <v>2</v>
      </c>
      <c r="B83" s="248" t="s">
        <v>1165</v>
      </c>
      <c r="C83" s="249" t="s">
        <v>1161</v>
      </c>
      <c r="D83" s="250" t="s">
        <v>1166</v>
      </c>
      <c r="E83" s="215"/>
      <c r="F83" s="215"/>
      <c r="G83" s="215"/>
      <c r="H83" s="215"/>
      <c r="I83" s="215"/>
      <c r="J83" s="215"/>
      <c r="K83" s="215"/>
      <c r="L83" s="215"/>
      <c r="M83" s="215"/>
      <c r="N83" s="215"/>
      <c r="O83" s="215"/>
      <c r="P83" s="215"/>
      <c r="Q83" s="215"/>
      <c r="R83" s="215"/>
      <c r="S83" s="215"/>
      <c r="CM83" s="210"/>
      <c r="CN83" s="213" t="s">
        <v>1167</v>
      </c>
      <c r="CO83" s="213" t="s">
        <v>878</v>
      </c>
      <c r="CP83" s="213" t="s">
        <v>879</v>
      </c>
      <c r="CQ83" s="213" t="s">
        <v>1168</v>
      </c>
      <c r="CR83" s="213" t="s">
        <v>1168</v>
      </c>
      <c r="CS83" s="213" t="s">
        <v>881</v>
      </c>
      <c r="CT83" s="213" t="s">
        <v>882</v>
      </c>
      <c r="CU83" s="213" t="s">
        <v>883</v>
      </c>
      <c r="CV83" s="214" t="s">
        <v>884</v>
      </c>
      <c r="CX83" s="212">
        <v>1</v>
      </c>
    </row>
    <row r="84" spans="1:102" ht="21" customHeight="1">
      <c r="A84" s="247">
        <v>3</v>
      </c>
      <c r="B84" s="248" t="s">
        <v>1169</v>
      </c>
      <c r="C84" s="249" t="s">
        <v>1161</v>
      </c>
      <c r="D84" s="250" t="s">
        <v>1170</v>
      </c>
      <c r="E84" s="215"/>
      <c r="F84" s="215"/>
      <c r="G84" s="215"/>
      <c r="H84" s="215"/>
      <c r="I84" s="215"/>
      <c r="J84" s="215"/>
      <c r="K84" s="215"/>
      <c r="L84" s="215"/>
      <c r="M84" s="215"/>
      <c r="N84" s="215"/>
      <c r="O84" s="215"/>
      <c r="P84" s="215"/>
      <c r="Q84" s="215"/>
      <c r="R84" s="215"/>
      <c r="S84" s="215"/>
      <c r="CM84" s="210"/>
      <c r="CN84" s="213" t="s">
        <v>1171</v>
      </c>
      <c r="CO84" s="213" t="s">
        <v>878</v>
      </c>
      <c r="CP84" s="213" t="s">
        <v>879</v>
      </c>
      <c r="CQ84" s="213" t="s">
        <v>1172</v>
      </c>
      <c r="CR84" s="213" t="s">
        <v>1172</v>
      </c>
      <c r="CS84" s="213" t="s">
        <v>971</v>
      </c>
      <c r="CT84" s="213" t="s">
        <v>972</v>
      </c>
      <c r="CU84" s="213" t="s">
        <v>883</v>
      </c>
      <c r="CV84" s="214" t="s">
        <v>973</v>
      </c>
      <c r="CX84" s="212">
        <v>1</v>
      </c>
    </row>
    <row r="85" spans="1:102" ht="21" customHeight="1">
      <c r="A85" s="247">
        <v>4</v>
      </c>
      <c r="B85" s="248" t="s">
        <v>1173</v>
      </c>
      <c r="C85" s="249" t="s">
        <v>1161</v>
      </c>
      <c r="D85" s="250" t="s">
        <v>1174</v>
      </c>
      <c r="E85" s="215"/>
      <c r="F85" s="215"/>
      <c r="G85" s="215"/>
      <c r="H85" s="215"/>
      <c r="I85" s="215"/>
      <c r="J85" s="215"/>
      <c r="K85" s="215"/>
      <c r="L85" s="215"/>
      <c r="M85" s="215"/>
      <c r="N85" s="215"/>
      <c r="O85" s="215"/>
      <c r="P85" s="215"/>
      <c r="Q85" s="215"/>
      <c r="R85" s="215"/>
      <c r="S85" s="215"/>
      <c r="CM85" s="210"/>
      <c r="CN85" s="213" t="s">
        <v>1175</v>
      </c>
      <c r="CO85" s="213" t="s">
        <v>878</v>
      </c>
      <c r="CP85" s="213" t="s">
        <v>879</v>
      </c>
      <c r="CQ85" s="213" t="s">
        <v>1176</v>
      </c>
      <c r="CR85" s="213" t="s">
        <v>1176</v>
      </c>
      <c r="CS85" s="213" t="s">
        <v>971</v>
      </c>
      <c r="CT85" s="213" t="s">
        <v>972</v>
      </c>
      <c r="CU85" s="213" t="s">
        <v>883</v>
      </c>
      <c r="CV85" s="214" t="s">
        <v>973</v>
      </c>
      <c r="CX85" s="212">
        <v>1</v>
      </c>
    </row>
    <row r="86" spans="1:102" ht="21" customHeight="1">
      <c r="A86" s="247">
        <v>5</v>
      </c>
      <c r="B86" s="248" t="s">
        <v>1177</v>
      </c>
      <c r="C86" s="249" t="s">
        <v>1161</v>
      </c>
      <c r="D86" s="250" t="s">
        <v>1178</v>
      </c>
      <c r="E86" s="215"/>
      <c r="F86" s="215"/>
      <c r="G86" s="215"/>
      <c r="H86" s="215"/>
      <c r="I86" s="215"/>
      <c r="J86" s="215"/>
      <c r="K86" s="215"/>
      <c r="L86" s="215"/>
      <c r="M86" s="215"/>
      <c r="N86" s="215"/>
      <c r="O86" s="215"/>
      <c r="P86" s="215"/>
      <c r="Q86" s="215"/>
      <c r="R86" s="215"/>
      <c r="S86" s="215"/>
      <c r="CM86" s="210"/>
      <c r="CN86" s="213" t="s">
        <v>1179</v>
      </c>
      <c r="CO86" s="213" t="s">
        <v>878</v>
      </c>
      <c r="CP86" s="213" t="s">
        <v>879</v>
      </c>
      <c r="CQ86" s="213" t="s">
        <v>1180</v>
      </c>
      <c r="CR86" s="213" t="s">
        <v>1180</v>
      </c>
      <c r="CS86" s="213" t="s">
        <v>881</v>
      </c>
      <c r="CT86" s="213" t="s">
        <v>882</v>
      </c>
      <c r="CU86" s="213" t="s">
        <v>883</v>
      </c>
      <c r="CV86" s="214" t="s">
        <v>884</v>
      </c>
      <c r="CX86" s="212">
        <v>1</v>
      </c>
    </row>
    <row r="87" spans="1:102" ht="21" customHeight="1">
      <c r="A87" s="247">
        <v>6</v>
      </c>
      <c r="B87" s="248" t="s">
        <v>1181</v>
      </c>
      <c r="C87" s="249" t="s">
        <v>1182</v>
      </c>
      <c r="D87" s="250" t="s">
        <v>1183</v>
      </c>
      <c r="E87" s="215"/>
      <c r="F87" s="215"/>
      <c r="G87" s="215"/>
      <c r="H87" s="215"/>
      <c r="I87" s="215"/>
      <c r="J87" s="215"/>
      <c r="K87" s="215"/>
      <c r="L87" s="215"/>
      <c r="M87" s="215"/>
      <c r="N87" s="215"/>
      <c r="O87" s="215"/>
      <c r="P87" s="215"/>
      <c r="Q87" s="215"/>
      <c r="R87" s="215"/>
      <c r="S87" s="215"/>
      <c r="CM87" s="210"/>
      <c r="CN87" s="213" t="s">
        <v>1184</v>
      </c>
      <c r="CO87" s="213" t="s">
        <v>878</v>
      </c>
      <c r="CP87" s="213" t="s">
        <v>879</v>
      </c>
      <c r="CQ87" s="213" t="s">
        <v>1185</v>
      </c>
      <c r="CR87" s="213" t="s">
        <v>1185</v>
      </c>
      <c r="CS87" s="213" t="s">
        <v>881</v>
      </c>
      <c r="CT87" s="213" t="s">
        <v>882</v>
      </c>
      <c r="CU87" s="213" t="s">
        <v>883</v>
      </c>
      <c r="CV87" s="214" t="s">
        <v>884</v>
      </c>
      <c r="CX87" s="212">
        <v>1</v>
      </c>
    </row>
    <row r="88" spans="1:102" ht="21" customHeight="1">
      <c r="A88" s="247">
        <v>7</v>
      </c>
      <c r="B88" s="248" t="s">
        <v>1186</v>
      </c>
      <c r="C88" s="249" t="s">
        <v>1187</v>
      </c>
      <c r="D88" s="250" t="s">
        <v>1188</v>
      </c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5"/>
      <c r="Q88" s="215"/>
      <c r="R88" s="215"/>
      <c r="S88" s="215"/>
      <c r="CM88" s="210"/>
      <c r="CN88" s="213" t="s">
        <v>1189</v>
      </c>
      <c r="CO88" s="213" t="s">
        <v>878</v>
      </c>
      <c r="CP88" s="213" t="s">
        <v>879</v>
      </c>
      <c r="CQ88" s="213" t="s">
        <v>1190</v>
      </c>
      <c r="CR88" s="213" t="s">
        <v>1191</v>
      </c>
      <c r="CS88" s="213" t="s">
        <v>881</v>
      </c>
      <c r="CT88" s="213" t="s">
        <v>882</v>
      </c>
      <c r="CU88" s="213" t="s">
        <v>883</v>
      </c>
      <c r="CV88" s="214" t="s">
        <v>884</v>
      </c>
      <c r="CX88" s="212">
        <v>1</v>
      </c>
    </row>
    <row r="89" spans="1:102" ht="21" customHeight="1">
      <c r="A89" s="247">
        <v>8</v>
      </c>
      <c r="B89" s="248" t="s">
        <v>1192</v>
      </c>
      <c r="C89" s="249" t="s">
        <v>1193</v>
      </c>
      <c r="D89" s="250" t="s">
        <v>1194</v>
      </c>
      <c r="E89" s="215"/>
      <c r="F89" s="215"/>
      <c r="G89" s="215"/>
      <c r="H89" s="215"/>
      <c r="I89" s="215"/>
      <c r="J89" s="215"/>
      <c r="K89" s="215"/>
      <c r="L89" s="215"/>
      <c r="M89" s="215"/>
      <c r="N89" s="215"/>
      <c r="O89" s="215"/>
      <c r="P89" s="215"/>
      <c r="Q89" s="215"/>
      <c r="R89" s="215"/>
      <c r="S89" s="215"/>
      <c r="CM89" s="210"/>
      <c r="CN89" s="213" t="s">
        <v>1195</v>
      </c>
      <c r="CO89" s="213" t="s">
        <v>878</v>
      </c>
      <c r="CP89" s="213" t="s">
        <v>879</v>
      </c>
      <c r="CQ89" s="213" t="s">
        <v>1196</v>
      </c>
      <c r="CR89" s="213" t="s">
        <v>1196</v>
      </c>
      <c r="CS89" s="213" t="s">
        <v>881</v>
      </c>
      <c r="CT89" s="213" t="s">
        <v>882</v>
      </c>
      <c r="CU89" s="213" t="s">
        <v>883</v>
      </c>
      <c r="CV89" s="214" t="s">
        <v>884</v>
      </c>
      <c r="CX89" s="212">
        <v>1</v>
      </c>
    </row>
    <row r="90" spans="1:102" ht="21" customHeight="1">
      <c r="A90" s="247">
        <v>9</v>
      </c>
      <c r="B90" s="248" t="s">
        <v>1197</v>
      </c>
      <c r="C90" s="249" t="s">
        <v>1198</v>
      </c>
      <c r="D90" s="250" t="s">
        <v>1199</v>
      </c>
      <c r="E90" s="215"/>
      <c r="F90" s="215"/>
      <c r="G90" s="215"/>
      <c r="H90" s="215"/>
      <c r="I90" s="215"/>
      <c r="J90" s="215"/>
      <c r="K90" s="215"/>
      <c r="L90" s="215"/>
      <c r="M90" s="215"/>
      <c r="N90" s="215"/>
      <c r="O90" s="215"/>
      <c r="P90" s="215"/>
      <c r="Q90" s="215"/>
      <c r="R90" s="215"/>
      <c r="S90" s="215"/>
      <c r="CM90" s="210"/>
      <c r="CN90" s="213" t="s">
        <v>1200</v>
      </c>
      <c r="CO90" s="213" t="s">
        <v>878</v>
      </c>
      <c r="CP90" s="213" t="s">
        <v>879</v>
      </c>
      <c r="CQ90" s="213" t="s">
        <v>1201</v>
      </c>
      <c r="CR90" s="213" t="s">
        <v>1202</v>
      </c>
      <c r="CS90" s="213" t="s">
        <v>881</v>
      </c>
      <c r="CT90" s="213" t="s">
        <v>882</v>
      </c>
      <c r="CU90" s="213" t="s">
        <v>883</v>
      </c>
      <c r="CV90" s="214" t="s">
        <v>884</v>
      </c>
      <c r="CX90" s="212">
        <v>1</v>
      </c>
    </row>
    <row r="91" spans="1:102" ht="21" customHeight="1">
      <c r="A91" s="251">
        <v>10</v>
      </c>
      <c r="B91" s="252" t="s">
        <v>1203</v>
      </c>
      <c r="C91" s="253" t="s">
        <v>1204</v>
      </c>
      <c r="D91" s="254" t="s">
        <v>1205</v>
      </c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5"/>
      <c r="Q91" s="215"/>
      <c r="R91" s="215"/>
      <c r="S91" s="215"/>
      <c r="CM91" s="210"/>
      <c r="CN91" s="213" t="s">
        <v>1206</v>
      </c>
      <c r="CO91" s="213" t="s">
        <v>878</v>
      </c>
      <c r="CP91" s="213" t="s">
        <v>879</v>
      </c>
      <c r="CQ91" s="213" t="s">
        <v>1207</v>
      </c>
      <c r="CR91" s="213" t="s">
        <v>1207</v>
      </c>
      <c r="CS91" s="213" t="s">
        <v>881</v>
      </c>
      <c r="CT91" s="213" t="s">
        <v>882</v>
      </c>
      <c r="CU91" s="213" t="s">
        <v>883</v>
      </c>
      <c r="CV91" s="214" t="s">
        <v>884</v>
      </c>
      <c r="CX91" s="212">
        <v>1</v>
      </c>
    </row>
    <row r="92" spans="1:102" ht="21" customHeight="1">
      <c r="A92" s="215">
        <v>11</v>
      </c>
      <c r="B92" s="241" t="s">
        <v>7251</v>
      </c>
      <c r="C92" s="242" t="s">
        <v>7252</v>
      </c>
      <c r="D92" s="242" t="s">
        <v>7253</v>
      </c>
      <c r="E92" s="215"/>
      <c r="F92" s="215"/>
      <c r="G92" s="215"/>
      <c r="H92" s="215"/>
      <c r="I92" s="215"/>
      <c r="J92" s="215"/>
      <c r="K92" s="215"/>
      <c r="L92" s="215"/>
      <c r="M92" s="215"/>
      <c r="N92" s="215"/>
      <c r="O92" s="215"/>
      <c r="P92" s="215"/>
      <c r="Q92" s="215"/>
      <c r="R92" s="215"/>
      <c r="S92" s="215"/>
      <c r="CM92" s="210"/>
      <c r="CN92" s="213" t="s">
        <v>1208</v>
      </c>
      <c r="CO92" s="213" t="s">
        <v>878</v>
      </c>
      <c r="CP92" s="213" t="s">
        <v>879</v>
      </c>
      <c r="CQ92" s="213" t="s">
        <v>1209</v>
      </c>
      <c r="CR92" s="213" t="s">
        <v>1209</v>
      </c>
      <c r="CS92" s="213" t="s">
        <v>881</v>
      </c>
      <c r="CT92" s="213" t="s">
        <v>882</v>
      </c>
      <c r="CU92" s="213" t="s">
        <v>883</v>
      </c>
      <c r="CV92" s="214" t="s">
        <v>884</v>
      </c>
      <c r="CX92" s="212">
        <v>1</v>
      </c>
    </row>
    <row r="93" spans="1:102" ht="21" customHeight="1">
      <c r="A93" s="215">
        <v>12</v>
      </c>
      <c r="B93" s="241" t="s">
        <v>7254</v>
      </c>
      <c r="C93" s="242" t="s">
        <v>7255</v>
      </c>
      <c r="D93" s="242" t="s">
        <v>7256</v>
      </c>
      <c r="E93" s="215"/>
      <c r="F93" s="215"/>
      <c r="G93" s="215"/>
      <c r="H93" s="215"/>
      <c r="I93" s="215"/>
      <c r="J93" s="215"/>
      <c r="K93" s="215"/>
      <c r="L93" s="215"/>
      <c r="M93" s="215"/>
      <c r="N93" s="215"/>
      <c r="O93" s="215"/>
      <c r="P93" s="215"/>
      <c r="Q93" s="215"/>
      <c r="R93" s="215"/>
      <c r="S93" s="215"/>
      <c r="CM93" s="210"/>
      <c r="CN93" s="213" t="s">
        <v>1210</v>
      </c>
      <c r="CO93" s="213" t="s">
        <v>878</v>
      </c>
      <c r="CP93" s="213" t="s">
        <v>879</v>
      </c>
      <c r="CQ93" s="213" t="s">
        <v>1211</v>
      </c>
      <c r="CR93" s="213" t="s">
        <v>1211</v>
      </c>
      <c r="CS93" s="213" t="s">
        <v>881</v>
      </c>
      <c r="CT93" s="213" t="s">
        <v>882</v>
      </c>
      <c r="CU93" s="213" t="s">
        <v>883</v>
      </c>
      <c r="CV93" s="214" t="s">
        <v>884</v>
      </c>
      <c r="CX93" s="212">
        <v>1</v>
      </c>
    </row>
    <row r="94" spans="1:102" ht="21" customHeight="1">
      <c r="A94" s="766" t="s">
        <v>1212</v>
      </c>
      <c r="B94" s="766"/>
      <c r="C94" s="766"/>
      <c r="D94" s="766"/>
      <c r="E94" s="766"/>
      <c r="F94" s="766"/>
      <c r="G94" s="766"/>
      <c r="H94" s="766"/>
      <c r="I94" s="766"/>
      <c r="J94" s="766"/>
      <c r="K94" s="766"/>
      <c r="L94" s="766"/>
      <c r="M94" s="766"/>
      <c r="N94" s="766"/>
      <c r="O94" s="766"/>
      <c r="P94" s="766"/>
      <c r="Q94" s="766"/>
      <c r="R94" s="766"/>
      <c r="S94" s="766"/>
      <c r="CM94" s="210"/>
      <c r="CN94" s="213" t="s">
        <v>1213</v>
      </c>
      <c r="CO94" s="213" t="s">
        <v>878</v>
      </c>
      <c r="CP94" s="213" t="s">
        <v>879</v>
      </c>
      <c r="CQ94" s="213" t="s">
        <v>1214</v>
      </c>
      <c r="CR94" s="213" t="s">
        <v>1215</v>
      </c>
      <c r="CS94" s="213" t="s">
        <v>881</v>
      </c>
      <c r="CT94" s="213" t="s">
        <v>882</v>
      </c>
      <c r="CU94" s="213" t="s">
        <v>883</v>
      </c>
      <c r="CV94" s="214" t="s">
        <v>884</v>
      </c>
      <c r="CX94" s="212">
        <v>1</v>
      </c>
    </row>
    <row r="95" spans="1:102" ht="21" customHeight="1">
      <c r="A95" s="215"/>
      <c r="B95" s="255" t="s">
        <v>1216</v>
      </c>
      <c r="C95" s="256"/>
      <c r="D95" s="242"/>
      <c r="E95" s="215"/>
      <c r="F95" s="215"/>
      <c r="G95" s="215"/>
      <c r="H95" s="215"/>
      <c r="I95" s="215"/>
      <c r="J95" s="215"/>
      <c r="K95" s="215"/>
      <c r="L95" s="215"/>
      <c r="M95" s="215"/>
      <c r="N95" s="215"/>
      <c r="O95" s="215"/>
      <c r="P95" s="215"/>
      <c r="Q95" s="215"/>
      <c r="R95" s="215"/>
      <c r="S95" s="215"/>
      <c r="CM95" s="210"/>
      <c r="CN95" s="213" t="s">
        <v>1217</v>
      </c>
      <c r="CO95" s="213" t="s">
        <v>878</v>
      </c>
      <c r="CP95" s="213" t="s">
        <v>879</v>
      </c>
      <c r="CQ95" s="213" t="s">
        <v>1218</v>
      </c>
      <c r="CR95" s="213" t="s">
        <v>1218</v>
      </c>
      <c r="CS95" s="213" t="s">
        <v>881</v>
      </c>
      <c r="CT95" s="213" t="s">
        <v>882</v>
      </c>
      <c r="CU95" s="213" t="s">
        <v>883</v>
      </c>
      <c r="CV95" s="214" t="s">
        <v>884</v>
      </c>
      <c r="CX95" s="212">
        <v>1</v>
      </c>
    </row>
    <row r="96" spans="1:102" ht="21" customHeight="1">
      <c r="A96" s="215"/>
      <c r="B96" s="257" t="s">
        <v>1219</v>
      </c>
      <c r="C96" s="258" t="s">
        <v>1220</v>
      </c>
      <c r="D96" s="242"/>
      <c r="E96" s="215"/>
      <c r="F96" s="215"/>
      <c r="G96" s="215"/>
      <c r="H96" s="215"/>
      <c r="I96" s="215"/>
      <c r="J96" s="215"/>
      <c r="K96" s="215"/>
      <c r="L96" s="215"/>
      <c r="M96" s="215"/>
      <c r="N96" s="215"/>
      <c r="O96" s="215"/>
      <c r="P96" s="215"/>
      <c r="Q96" s="215"/>
      <c r="R96" s="215"/>
      <c r="S96" s="215"/>
      <c r="CM96" s="210"/>
      <c r="CN96" s="213" t="s">
        <v>1221</v>
      </c>
      <c r="CO96" s="213" t="s">
        <v>878</v>
      </c>
      <c r="CP96" s="213" t="s">
        <v>879</v>
      </c>
      <c r="CQ96" s="213" t="s">
        <v>1222</v>
      </c>
      <c r="CR96" s="213" t="s">
        <v>1222</v>
      </c>
      <c r="CS96" s="213" t="s">
        <v>881</v>
      </c>
      <c r="CT96" s="213" t="s">
        <v>882</v>
      </c>
      <c r="CU96" s="213" t="s">
        <v>883</v>
      </c>
      <c r="CV96" s="214" t="s">
        <v>884</v>
      </c>
      <c r="CX96" s="212">
        <v>1</v>
      </c>
    </row>
    <row r="97" spans="1:102" ht="21" customHeight="1">
      <c r="A97" s="215"/>
      <c r="B97" s="257" t="s">
        <v>1223</v>
      </c>
      <c r="C97" s="258" t="s">
        <v>1224</v>
      </c>
      <c r="D97" s="242"/>
      <c r="E97" s="215"/>
      <c r="F97" s="215"/>
      <c r="G97" s="215"/>
      <c r="H97" s="215"/>
      <c r="I97" s="215"/>
      <c r="J97" s="215"/>
      <c r="K97" s="215"/>
      <c r="L97" s="215"/>
      <c r="M97" s="215"/>
      <c r="N97" s="215"/>
      <c r="O97" s="215"/>
      <c r="P97" s="215"/>
      <c r="Q97" s="215"/>
      <c r="R97" s="215"/>
      <c r="S97" s="215"/>
      <c r="CM97" s="210"/>
      <c r="CN97" s="213" t="s">
        <v>1225</v>
      </c>
      <c r="CO97" s="213" t="s">
        <v>878</v>
      </c>
      <c r="CP97" s="213" t="s">
        <v>879</v>
      </c>
      <c r="CQ97" s="213" t="s">
        <v>1226</v>
      </c>
      <c r="CR97" s="213" t="s">
        <v>1226</v>
      </c>
      <c r="CS97" s="213" t="s">
        <v>971</v>
      </c>
      <c r="CT97" s="213" t="s">
        <v>972</v>
      </c>
      <c r="CU97" s="213" t="s">
        <v>883</v>
      </c>
      <c r="CV97" s="214" t="s">
        <v>973</v>
      </c>
      <c r="CX97" s="212">
        <v>1</v>
      </c>
    </row>
    <row r="98" spans="1:102" ht="21" customHeight="1">
      <c r="A98" s="215"/>
      <c r="B98" s="257" t="s">
        <v>1227</v>
      </c>
      <c r="C98" s="258" t="s">
        <v>1228</v>
      </c>
      <c r="D98" s="242"/>
      <c r="E98" s="215"/>
      <c r="F98" s="215"/>
      <c r="G98" s="215"/>
      <c r="H98" s="215"/>
      <c r="I98" s="215"/>
      <c r="J98" s="215"/>
      <c r="K98" s="215"/>
      <c r="L98" s="215"/>
      <c r="M98" s="215"/>
      <c r="N98" s="215"/>
      <c r="O98" s="215"/>
      <c r="P98" s="215"/>
      <c r="Q98" s="215"/>
      <c r="R98" s="215"/>
      <c r="S98" s="215"/>
      <c r="CM98" s="210"/>
      <c r="CN98" s="213" t="s">
        <v>1229</v>
      </c>
      <c r="CO98" s="213" t="s">
        <v>878</v>
      </c>
      <c r="CP98" s="213" t="s">
        <v>879</v>
      </c>
      <c r="CQ98" s="213" t="s">
        <v>1230</v>
      </c>
      <c r="CR98" s="213" t="s">
        <v>1231</v>
      </c>
      <c r="CS98" s="213" t="s">
        <v>881</v>
      </c>
      <c r="CT98" s="213" t="s">
        <v>882</v>
      </c>
      <c r="CU98" s="213" t="s">
        <v>883</v>
      </c>
      <c r="CV98" s="214" t="s">
        <v>884</v>
      </c>
      <c r="CX98" s="212">
        <v>1</v>
      </c>
    </row>
    <row r="99" spans="1:102" ht="21" customHeight="1">
      <c r="A99" s="215"/>
      <c r="B99" s="257" t="s">
        <v>1232</v>
      </c>
      <c r="C99" s="258" t="s">
        <v>1233</v>
      </c>
      <c r="D99" s="242"/>
      <c r="E99" s="215"/>
      <c r="F99" s="215"/>
      <c r="G99" s="215"/>
      <c r="H99" s="215"/>
      <c r="I99" s="215"/>
      <c r="J99" s="215"/>
      <c r="K99" s="215"/>
      <c r="L99" s="215"/>
      <c r="M99" s="215"/>
      <c r="N99" s="215"/>
      <c r="O99" s="215"/>
      <c r="P99" s="215"/>
      <c r="Q99" s="215"/>
      <c r="R99" s="215"/>
      <c r="S99" s="215"/>
      <c r="CM99" s="210"/>
      <c r="CN99" s="213" t="s">
        <v>1234</v>
      </c>
      <c r="CO99" s="213" t="s">
        <v>878</v>
      </c>
      <c r="CP99" s="213" t="s">
        <v>879</v>
      </c>
      <c r="CQ99" s="213" t="s">
        <v>1235</v>
      </c>
      <c r="CR99" s="213" t="s">
        <v>1236</v>
      </c>
      <c r="CS99" s="213" t="s">
        <v>881</v>
      </c>
      <c r="CT99" s="213" t="s">
        <v>882</v>
      </c>
      <c r="CU99" s="213" t="s">
        <v>883</v>
      </c>
      <c r="CV99" s="214" t="s">
        <v>884</v>
      </c>
      <c r="CX99" s="212">
        <v>1</v>
      </c>
    </row>
    <row r="100" spans="1:102" ht="21" customHeight="1">
      <c r="A100" s="215"/>
      <c r="B100" s="257" t="s">
        <v>1237</v>
      </c>
      <c r="C100" s="258" t="s">
        <v>1238</v>
      </c>
      <c r="D100" s="242"/>
      <c r="E100" s="215"/>
      <c r="F100" s="215"/>
      <c r="G100" s="215"/>
      <c r="H100" s="215"/>
      <c r="I100" s="215"/>
      <c r="J100" s="215"/>
      <c r="K100" s="215"/>
      <c r="L100" s="215"/>
      <c r="M100" s="215"/>
      <c r="N100" s="215"/>
      <c r="O100" s="215"/>
      <c r="P100" s="215"/>
      <c r="Q100" s="215"/>
      <c r="R100" s="215"/>
      <c r="S100" s="215"/>
      <c r="CM100" s="210"/>
      <c r="CN100" s="213" t="s">
        <v>1239</v>
      </c>
      <c r="CO100" s="213" t="s">
        <v>878</v>
      </c>
      <c r="CP100" s="213" t="s">
        <v>879</v>
      </c>
      <c r="CQ100" s="213" t="s">
        <v>1240</v>
      </c>
      <c r="CR100" s="213" t="s">
        <v>1241</v>
      </c>
      <c r="CS100" s="213" t="s">
        <v>881</v>
      </c>
      <c r="CT100" s="213" t="s">
        <v>882</v>
      </c>
      <c r="CU100" s="213" t="s">
        <v>883</v>
      </c>
      <c r="CV100" s="214" t="s">
        <v>884</v>
      </c>
      <c r="CX100" s="212">
        <v>1</v>
      </c>
    </row>
    <row r="101" spans="1:102" ht="21" customHeight="1">
      <c r="A101" s="215"/>
      <c r="B101" s="257" t="s">
        <v>1242</v>
      </c>
      <c r="C101" s="258" t="s">
        <v>1243</v>
      </c>
      <c r="D101" s="242"/>
      <c r="E101" s="215"/>
      <c r="F101" s="215"/>
      <c r="G101" s="215"/>
      <c r="H101" s="215"/>
      <c r="I101" s="215"/>
      <c r="J101" s="215"/>
      <c r="K101" s="215"/>
      <c r="L101" s="215"/>
      <c r="M101" s="215"/>
      <c r="N101" s="215"/>
      <c r="O101" s="215"/>
      <c r="P101" s="215"/>
      <c r="Q101" s="215"/>
      <c r="R101" s="215"/>
      <c r="S101" s="215"/>
      <c r="CM101" s="210"/>
      <c r="CN101" s="213" t="s">
        <v>1244</v>
      </c>
      <c r="CO101" s="213" t="s">
        <v>878</v>
      </c>
      <c r="CP101" s="213" t="s">
        <v>879</v>
      </c>
      <c r="CQ101" s="213" t="s">
        <v>1245</v>
      </c>
      <c r="CR101" s="213" t="s">
        <v>1246</v>
      </c>
      <c r="CS101" s="213" t="s">
        <v>881</v>
      </c>
      <c r="CT101" s="213" t="s">
        <v>882</v>
      </c>
      <c r="CU101" s="213" t="s">
        <v>883</v>
      </c>
      <c r="CV101" s="214" t="s">
        <v>884</v>
      </c>
      <c r="CX101" s="212">
        <v>1</v>
      </c>
    </row>
    <row r="102" spans="1:102" ht="21" customHeight="1">
      <c r="A102" s="215"/>
      <c r="B102" s="259"/>
      <c r="C102" s="260"/>
      <c r="D102" s="242"/>
      <c r="E102" s="215"/>
      <c r="F102" s="215"/>
      <c r="G102" s="215"/>
      <c r="H102" s="215"/>
      <c r="I102" s="215"/>
      <c r="J102" s="215"/>
      <c r="K102" s="215"/>
      <c r="L102" s="215"/>
      <c r="M102" s="215"/>
      <c r="N102" s="215"/>
      <c r="O102" s="215"/>
      <c r="P102" s="215"/>
      <c r="Q102" s="215"/>
      <c r="R102" s="215"/>
      <c r="S102" s="215"/>
      <c r="CM102" s="210"/>
      <c r="CN102" s="213" t="s">
        <v>1247</v>
      </c>
      <c r="CO102" s="213" t="s">
        <v>878</v>
      </c>
      <c r="CP102" s="213" t="s">
        <v>879</v>
      </c>
      <c r="CQ102" s="213" t="s">
        <v>1248</v>
      </c>
      <c r="CR102" s="213" t="s">
        <v>1249</v>
      </c>
      <c r="CS102" s="213" t="s">
        <v>881</v>
      </c>
      <c r="CT102" s="213" t="s">
        <v>882</v>
      </c>
      <c r="CU102" s="213" t="s">
        <v>883</v>
      </c>
      <c r="CV102" s="214" t="s">
        <v>884</v>
      </c>
      <c r="CX102" s="212">
        <v>1</v>
      </c>
    </row>
    <row r="103" spans="1:102" ht="21" customHeight="1">
      <c r="A103" s="215"/>
      <c r="B103" s="261" t="s">
        <v>1250</v>
      </c>
      <c r="C103" s="256"/>
      <c r="D103" s="242"/>
      <c r="E103" s="215"/>
      <c r="F103" s="215"/>
      <c r="G103" s="215"/>
      <c r="H103" s="215"/>
      <c r="I103" s="215"/>
      <c r="J103" s="215"/>
      <c r="K103" s="215"/>
      <c r="L103" s="215"/>
      <c r="M103" s="215"/>
      <c r="N103" s="215"/>
      <c r="O103" s="215"/>
      <c r="P103" s="215"/>
      <c r="Q103" s="215"/>
      <c r="R103" s="215"/>
      <c r="S103" s="215"/>
      <c r="CM103" s="210"/>
      <c r="CN103" s="213" t="s">
        <v>1251</v>
      </c>
      <c r="CO103" s="213" t="s">
        <v>878</v>
      </c>
      <c r="CP103" s="213" t="s">
        <v>879</v>
      </c>
      <c r="CQ103" s="213" t="s">
        <v>1252</v>
      </c>
      <c r="CR103" s="213" t="s">
        <v>1253</v>
      </c>
      <c r="CS103" s="213" t="s">
        <v>881</v>
      </c>
      <c r="CT103" s="213" t="s">
        <v>882</v>
      </c>
      <c r="CU103" s="213" t="s">
        <v>883</v>
      </c>
      <c r="CV103" s="214" t="s">
        <v>884</v>
      </c>
      <c r="CX103" s="212">
        <v>1</v>
      </c>
    </row>
    <row r="104" spans="1:102" ht="21" customHeight="1">
      <c r="A104" s="215"/>
      <c r="B104" s="257" t="s">
        <v>1254</v>
      </c>
      <c r="C104" s="258" t="s">
        <v>1255</v>
      </c>
      <c r="D104" s="242"/>
      <c r="E104" s="215"/>
      <c r="F104" s="215"/>
      <c r="G104" s="215"/>
      <c r="H104" s="215"/>
      <c r="I104" s="215"/>
      <c r="J104" s="215"/>
      <c r="K104" s="215"/>
      <c r="L104" s="215"/>
      <c r="M104" s="215"/>
      <c r="N104" s="215"/>
      <c r="O104" s="215"/>
      <c r="P104" s="215"/>
      <c r="Q104" s="215"/>
      <c r="R104" s="215"/>
      <c r="S104" s="215"/>
      <c r="CM104" s="210"/>
      <c r="CN104" s="213" t="s">
        <v>1256</v>
      </c>
      <c r="CO104" s="213" t="s">
        <v>878</v>
      </c>
      <c r="CP104" s="213" t="s">
        <v>879</v>
      </c>
      <c r="CQ104" s="213" t="s">
        <v>1257</v>
      </c>
      <c r="CR104" s="213" t="s">
        <v>1258</v>
      </c>
      <c r="CS104" s="213" t="s">
        <v>881</v>
      </c>
      <c r="CT104" s="213" t="s">
        <v>882</v>
      </c>
      <c r="CU104" s="213" t="s">
        <v>883</v>
      </c>
      <c r="CV104" s="214" t="s">
        <v>884</v>
      </c>
      <c r="CX104" s="212">
        <v>1</v>
      </c>
    </row>
    <row r="105" spans="1:102" ht="21" customHeight="1">
      <c r="A105" s="215"/>
      <c r="B105" s="257" t="s">
        <v>1259</v>
      </c>
      <c r="C105" s="258" t="s">
        <v>1260</v>
      </c>
      <c r="D105" s="242"/>
      <c r="E105" s="215"/>
      <c r="F105" s="215"/>
      <c r="G105" s="215"/>
      <c r="H105" s="215"/>
      <c r="I105" s="215"/>
      <c r="J105" s="215"/>
      <c r="K105" s="215"/>
      <c r="L105" s="215"/>
      <c r="M105" s="215"/>
      <c r="N105" s="215"/>
      <c r="O105" s="215"/>
      <c r="P105" s="215"/>
      <c r="Q105" s="215"/>
      <c r="R105" s="215"/>
      <c r="S105" s="215"/>
      <c r="CM105" s="210"/>
      <c r="CN105" s="213" t="s">
        <v>1261</v>
      </c>
      <c r="CO105" s="213" t="s">
        <v>878</v>
      </c>
      <c r="CP105" s="213" t="s">
        <v>879</v>
      </c>
      <c r="CQ105" s="213" t="s">
        <v>1262</v>
      </c>
      <c r="CR105" s="213" t="s">
        <v>1263</v>
      </c>
      <c r="CS105" s="213" t="s">
        <v>881</v>
      </c>
      <c r="CT105" s="213" t="s">
        <v>882</v>
      </c>
      <c r="CU105" s="213" t="s">
        <v>883</v>
      </c>
      <c r="CV105" s="214" t="s">
        <v>884</v>
      </c>
      <c r="CX105" s="212">
        <v>1</v>
      </c>
    </row>
    <row r="106" spans="1:102" ht="21" customHeight="1">
      <c r="A106" s="262"/>
      <c r="B106" s="257" t="s">
        <v>888</v>
      </c>
      <c r="C106" s="263" t="s">
        <v>1264</v>
      </c>
      <c r="D106" s="262"/>
      <c r="E106" s="262"/>
      <c r="F106" s="262"/>
      <c r="G106" s="262"/>
      <c r="H106" s="262"/>
      <c r="I106" s="262"/>
      <c r="J106" s="262"/>
      <c r="K106" s="262"/>
      <c r="L106" s="262"/>
      <c r="M106" s="262"/>
      <c r="N106" s="262"/>
      <c r="O106" s="262"/>
      <c r="P106" s="262"/>
      <c r="Q106" s="262"/>
      <c r="R106" s="262"/>
      <c r="S106" s="262"/>
      <c r="CM106" s="210"/>
      <c r="CN106" s="213" t="s">
        <v>1265</v>
      </c>
      <c r="CO106" s="213" t="s">
        <v>878</v>
      </c>
      <c r="CP106" s="213" t="s">
        <v>879</v>
      </c>
      <c r="CQ106" s="213" t="s">
        <v>1266</v>
      </c>
      <c r="CR106" s="213" t="s">
        <v>1267</v>
      </c>
      <c r="CS106" s="213" t="s">
        <v>881</v>
      </c>
      <c r="CT106" s="213" t="s">
        <v>882</v>
      </c>
      <c r="CU106" s="213" t="s">
        <v>883</v>
      </c>
      <c r="CV106" s="214" t="s">
        <v>884</v>
      </c>
      <c r="CX106" s="212">
        <v>1</v>
      </c>
    </row>
    <row r="107" spans="1:102" ht="21" customHeight="1">
      <c r="A107" s="262"/>
      <c r="B107" s="257" t="s">
        <v>1268</v>
      </c>
      <c r="C107" s="263" t="s">
        <v>1269</v>
      </c>
      <c r="D107" s="262"/>
      <c r="E107" s="262"/>
      <c r="F107" s="262"/>
      <c r="G107" s="262"/>
      <c r="H107" s="262"/>
      <c r="I107" s="262"/>
      <c r="J107" s="262"/>
      <c r="K107" s="262"/>
      <c r="L107" s="262"/>
      <c r="M107" s="262"/>
      <c r="N107" s="262"/>
      <c r="O107" s="262"/>
      <c r="P107" s="262"/>
      <c r="Q107" s="262"/>
      <c r="R107" s="262"/>
      <c r="S107" s="262"/>
      <c r="CM107" s="210"/>
      <c r="CN107" s="213" t="s">
        <v>1270</v>
      </c>
      <c r="CO107" s="213" t="s">
        <v>878</v>
      </c>
      <c r="CP107" s="213" t="s">
        <v>879</v>
      </c>
      <c r="CQ107" s="213" t="s">
        <v>1271</v>
      </c>
      <c r="CR107" s="213" t="s">
        <v>1272</v>
      </c>
      <c r="CS107" s="213" t="s">
        <v>881</v>
      </c>
      <c r="CT107" s="213" t="s">
        <v>882</v>
      </c>
      <c r="CU107" s="213" t="s">
        <v>883</v>
      </c>
      <c r="CV107" s="214" t="s">
        <v>884</v>
      </c>
      <c r="CX107" s="212">
        <v>1</v>
      </c>
    </row>
    <row r="108" spans="1:102" ht="21" customHeight="1">
      <c r="A108" s="262"/>
      <c r="B108" s="257" t="s">
        <v>1273</v>
      </c>
      <c r="C108" s="263" t="s">
        <v>1274</v>
      </c>
      <c r="D108" s="262"/>
      <c r="E108" s="262"/>
      <c r="F108" s="262"/>
      <c r="G108" s="262"/>
      <c r="H108" s="262"/>
      <c r="I108" s="262"/>
      <c r="J108" s="262"/>
      <c r="K108" s="262"/>
      <c r="L108" s="262"/>
      <c r="M108" s="262"/>
      <c r="N108" s="262"/>
      <c r="O108" s="262"/>
      <c r="P108" s="262"/>
      <c r="Q108" s="262"/>
      <c r="R108" s="262"/>
      <c r="S108" s="262"/>
      <c r="CM108" s="210"/>
      <c r="CN108" s="213" t="s">
        <v>1275</v>
      </c>
      <c r="CO108" s="213" t="s">
        <v>878</v>
      </c>
      <c r="CP108" s="213" t="s">
        <v>879</v>
      </c>
      <c r="CQ108" s="213" t="s">
        <v>1276</v>
      </c>
      <c r="CR108" s="213" t="s">
        <v>1276</v>
      </c>
      <c r="CS108" s="213" t="s">
        <v>881</v>
      </c>
      <c r="CT108" s="213" t="s">
        <v>882</v>
      </c>
      <c r="CU108" s="213" t="s">
        <v>883</v>
      </c>
      <c r="CV108" s="214" t="s">
        <v>884</v>
      </c>
      <c r="CX108" s="212">
        <v>1</v>
      </c>
    </row>
    <row r="109" spans="1:102" ht="21" customHeight="1">
      <c r="A109" s="262"/>
      <c r="B109" s="257" t="s">
        <v>900</v>
      </c>
      <c r="C109" s="263" t="s">
        <v>1277</v>
      </c>
      <c r="D109" s="262"/>
      <c r="E109" s="262"/>
      <c r="F109" s="262"/>
      <c r="G109" s="262"/>
      <c r="H109" s="262"/>
      <c r="I109" s="262"/>
      <c r="J109" s="262"/>
      <c r="K109" s="262"/>
      <c r="L109" s="262"/>
      <c r="M109" s="262"/>
      <c r="N109" s="262"/>
      <c r="O109" s="262"/>
      <c r="P109" s="262"/>
      <c r="Q109" s="262"/>
      <c r="R109" s="262"/>
      <c r="S109" s="262"/>
      <c r="CM109" s="210"/>
      <c r="CN109" s="213" t="s">
        <v>1278</v>
      </c>
      <c r="CO109" s="213" t="s">
        <v>878</v>
      </c>
      <c r="CP109" s="213" t="s">
        <v>879</v>
      </c>
      <c r="CQ109" s="213" t="s">
        <v>1279</v>
      </c>
      <c r="CR109" s="213" t="s">
        <v>1279</v>
      </c>
      <c r="CS109" s="213" t="s">
        <v>881</v>
      </c>
      <c r="CT109" s="213" t="s">
        <v>882</v>
      </c>
      <c r="CU109" s="213" t="s">
        <v>883</v>
      </c>
      <c r="CV109" s="214" t="s">
        <v>884</v>
      </c>
      <c r="CX109" s="212">
        <v>1</v>
      </c>
    </row>
    <row r="110" spans="1:102" ht="21" customHeight="1">
      <c r="A110" s="262"/>
      <c r="B110" s="257" t="s">
        <v>1280</v>
      </c>
      <c r="C110" s="263" t="s">
        <v>1281</v>
      </c>
      <c r="D110" s="262"/>
      <c r="E110" s="262"/>
      <c r="F110" s="262"/>
      <c r="G110" s="262"/>
      <c r="H110" s="262"/>
      <c r="I110" s="262"/>
      <c r="J110" s="262"/>
      <c r="K110" s="262"/>
      <c r="L110" s="262"/>
      <c r="M110" s="262"/>
      <c r="N110" s="262"/>
      <c r="O110" s="262"/>
      <c r="P110" s="262"/>
      <c r="Q110" s="262"/>
      <c r="R110" s="262"/>
      <c r="S110" s="262"/>
      <c r="CM110" s="210"/>
      <c r="CN110" s="213" t="s">
        <v>1282</v>
      </c>
      <c r="CO110" s="213" t="s">
        <v>878</v>
      </c>
      <c r="CP110" s="213" t="s">
        <v>879</v>
      </c>
      <c r="CQ110" s="213" t="s">
        <v>1283</v>
      </c>
      <c r="CR110" s="213" t="s">
        <v>1283</v>
      </c>
      <c r="CS110" s="213" t="s">
        <v>881</v>
      </c>
      <c r="CT110" s="213" t="s">
        <v>882</v>
      </c>
      <c r="CU110" s="213" t="s">
        <v>883</v>
      </c>
      <c r="CV110" s="214" t="s">
        <v>884</v>
      </c>
      <c r="CX110" s="212">
        <v>1</v>
      </c>
    </row>
    <row r="111" spans="1:102" ht="21" customHeight="1">
      <c r="A111" s="262"/>
      <c r="B111" s="257"/>
      <c r="C111" s="263" t="s">
        <v>1284</v>
      </c>
      <c r="D111" s="262"/>
      <c r="E111" s="262"/>
      <c r="F111" s="262"/>
      <c r="G111" s="262"/>
      <c r="H111" s="262"/>
      <c r="I111" s="262"/>
      <c r="J111" s="262"/>
      <c r="K111" s="262"/>
      <c r="L111" s="262"/>
      <c r="M111" s="262"/>
      <c r="N111" s="262"/>
      <c r="O111" s="262"/>
      <c r="P111" s="262"/>
      <c r="Q111" s="262"/>
      <c r="R111" s="262"/>
      <c r="S111" s="262"/>
      <c r="CM111" s="210"/>
      <c r="CN111" s="213" t="s">
        <v>1285</v>
      </c>
      <c r="CO111" s="213" t="s">
        <v>878</v>
      </c>
      <c r="CP111" s="213" t="s">
        <v>879</v>
      </c>
      <c r="CQ111" s="213" t="s">
        <v>1286</v>
      </c>
      <c r="CR111" s="213" t="s">
        <v>1286</v>
      </c>
      <c r="CS111" s="213" t="s">
        <v>881</v>
      </c>
      <c r="CT111" s="213" t="s">
        <v>882</v>
      </c>
      <c r="CU111" s="213" t="s">
        <v>883</v>
      </c>
      <c r="CV111" s="214" t="s">
        <v>884</v>
      </c>
      <c r="CX111" s="212">
        <v>1</v>
      </c>
    </row>
    <row r="112" spans="1:102" ht="21" customHeight="1">
      <c r="A112" s="262"/>
      <c r="B112" s="257" t="s">
        <v>1287</v>
      </c>
      <c r="C112" s="263" t="s">
        <v>1288</v>
      </c>
      <c r="D112" s="262"/>
      <c r="E112" s="262"/>
      <c r="F112" s="262"/>
      <c r="G112" s="262"/>
      <c r="H112" s="262"/>
      <c r="I112" s="262"/>
      <c r="J112" s="262"/>
      <c r="K112" s="262"/>
      <c r="L112" s="262"/>
      <c r="M112" s="262"/>
      <c r="N112" s="262"/>
      <c r="O112" s="262"/>
      <c r="P112" s="262"/>
      <c r="Q112" s="262"/>
      <c r="R112" s="262"/>
      <c r="S112" s="262"/>
      <c r="CM112" s="210"/>
      <c r="CN112" s="213" t="s">
        <v>1289</v>
      </c>
      <c r="CO112" s="213" t="s">
        <v>878</v>
      </c>
      <c r="CP112" s="213" t="s">
        <v>1290</v>
      </c>
      <c r="CQ112" s="213" t="s">
        <v>1291</v>
      </c>
      <c r="CR112" s="213" t="s">
        <v>1291</v>
      </c>
      <c r="CS112" s="213" t="s">
        <v>971</v>
      </c>
      <c r="CT112" s="213" t="s">
        <v>1292</v>
      </c>
      <c r="CU112" s="213" t="s">
        <v>883</v>
      </c>
      <c r="CV112" s="214" t="s">
        <v>973</v>
      </c>
      <c r="CX112" s="212">
        <v>1</v>
      </c>
    </row>
    <row r="113" spans="1:102" ht="21" customHeight="1">
      <c r="A113" s="262"/>
      <c r="B113" s="257" t="s">
        <v>1293</v>
      </c>
      <c r="C113" s="264"/>
      <c r="D113" s="262"/>
      <c r="E113" s="262"/>
      <c r="F113" s="262"/>
      <c r="G113" s="262"/>
      <c r="H113" s="262"/>
      <c r="I113" s="262"/>
      <c r="J113" s="262"/>
      <c r="K113" s="262"/>
      <c r="L113" s="262"/>
      <c r="M113" s="262"/>
      <c r="N113" s="262"/>
      <c r="O113" s="262"/>
      <c r="P113" s="262"/>
      <c r="Q113" s="262"/>
      <c r="R113" s="262"/>
      <c r="S113" s="262"/>
      <c r="CM113" s="210"/>
      <c r="CN113" s="213" t="s">
        <v>1294</v>
      </c>
      <c r="CO113" s="213" t="s">
        <v>878</v>
      </c>
      <c r="CP113" s="213" t="s">
        <v>1290</v>
      </c>
      <c r="CQ113" s="213" t="s">
        <v>1295</v>
      </c>
      <c r="CR113" s="213" t="s">
        <v>1295</v>
      </c>
      <c r="CS113" s="213" t="s">
        <v>881</v>
      </c>
      <c r="CT113" s="213" t="s">
        <v>1296</v>
      </c>
      <c r="CU113" s="213" t="s">
        <v>883</v>
      </c>
      <c r="CV113" s="214" t="s">
        <v>884</v>
      </c>
      <c r="CX113" s="212">
        <v>1</v>
      </c>
    </row>
    <row r="114" spans="1:102" ht="21" customHeight="1">
      <c r="A114" s="262"/>
      <c r="B114" s="265" t="s">
        <v>1297</v>
      </c>
      <c r="C114" s="263" t="s">
        <v>1298</v>
      </c>
      <c r="D114" s="262"/>
      <c r="E114" s="262"/>
      <c r="F114" s="262"/>
      <c r="G114" s="262"/>
      <c r="H114" s="262"/>
      <c r="I114" s="262"/>
      <c r="J114" s="262"/>
      <c r="K114" s="262"/>
      <c r="L114" s="262"/>
      <c r="M114" s="262"/>
      <c r="N114" s="262"/>
      <c r="O114" s="262"/>
      <c r="P114" s="262"/>
      <c r="Q114" s="262"/>
      <c r="R114" s="262"/>
      <c r="S114" s="262"/>
      <c r="CM114" s="210"/>
      <c r="CN114" s="213" t="s">
        <v>1299</v>
      </c>
      <c r="CO114" s="213" t="s">
        <v>878</v>
      </c>
      <c r="CP114" s="213" t="s">
        <v>1290</v>
      </c>
      <c r="CQ114" s="213" t="s">
        <v>1300</v>
      </c>
      <c r="CR114" s="213" t="s">
        <v>1300</v>
      </c>
      <c r="CS114" s="213" t="s">
        <v>881</v>
      </c>
      <c r="CT114" s="213" t="s">
        <v>1296</v>
      </c>
      <c r="CU114" s="213" t="s">
        <v>883</v>
      </c>
      <c r="CV114" s="214" t="s">
        <v>884</v>
      </c>
      <c r="CX114" s="212">
        <v>1</v>
      </c>
    </row>
    <row r="115" spans="1:102" ht="21" customHeight="1">
      <c r="A115" s="262"/>
      <c r="B115" s="257" t="s">
        <v>1301</v>
      </c>
      <c r="C115" s="263" t="s">
        <v>1302</v>
      </c>
      <c r="D115" s="262"/>
      <c r="E115" s="262"/>
      <c r="F115" s="262"/>
      <c r="G115" s="262"/>
      <c r="H115" s="262"/>
      <c r="I115" s="262"/>
      <c r="J115" s="262"/>
      <c r="K115" s="262"/>
      <c r="L115" s="262"/>
      <c r="M115" s="262"/>
      <c r="N115" s="262"/>
      <c r="O115" s="262"/>
      <c r="P115" s="262"/>
      <c r="Q115" s="262"/>
      <c r="R115" s="262"/>
      <c r="S115" s="262"/>
      <c r="CM115" s="210"/>
      <c r="CN115" s="213" t="s">
        <v>1303</v>
      </c>
      <c r="CO115" s="213" t="s">
        <v>878</v>
      </c>
      <c r="CP115" s="213" t="s">
        <v>1290</v>
      </c>
      <c r="CQ115" s="213" t="s">
        <v>1304</v>
      </c>
      <c r="CR115" s="213" t="s">
        <v>1305</v>
      </c>
      <c r="CS115" s="213" t="s">
        <v>881</v>
      </c>
      <c r="CT115" s="213" t="s">
        <v>1296</v>
      </c>
      <c r="CU115" s="213" t="s">
        <v>883</v>
      </c>
      <c r="CV115" s="214" t="s">
        <v>884</v>
      </c>
      <c r="CX115" s="212">
        <v>1</v>
      </c>
    </row>
    <row r="116" spans="1:102" ht="21" customHeight="1">
      <c r="A116" s="262"/>
      <c r="B116" s="257" t="s">
        <v>1306</v>
      </c>
      <c r="C116" s="263" t="s">
        <v>1150</v>
      </c>
      <c r="D116" s="262"/>
      <c r="E116" s="262"/>
      <c r="F116" s="262"/>
      <c r="G116" s="262"/>
      <c r="H116" s="262"/>
      <c r="I116" s="262"/>
      <c r="J116" s="262"/>
      <c r="K116" s="262"/>
      <c r="L116" s="262"/>
      <c r="M116" s="262"/>
      <c r="N116" s="262"/>
      <c r="O116" s="262"/>
      <c r="P116" s="262"/>
      <c r="Q116" s="262"/>
      <c r="R116" s="262"/>
      <c r="S116" s="262"/>
      <c r="CM116" s="210"/>
      <c r="CN116" s="213" t="s">
        <v>1307</v>
      </c>
      <c r="CO116" s="213" t="s">
        <v>878</v>
      </c>
      <c r="CP116" s="213" t="s">
        <v>879</v>
      </c>
      <c r="CQ116" s="213" t="s">
        <v>1308</v>
      </c>
      <c r="CR116" s="213" t="s">
        <v>1308</v>
      </c>
      <c r="CS116" s="213" t="s">
        <v>881</v>
      </c>
      <c r="CT116" s="213" t="s">
        <v>882</v>
      </c>
      <c r="CU116" s="213" t="s">
        <v>883</v>
      </c>
      <c r="CV116" s="214" t="s">
        <v>884</v>
      </c>
      <c r="CX116" s="212">
        <v>1</v>
      </c>
    </row>
    <row r="117" spans="1:102" ht="21" customHeight="1">
      <c r="A117" s="262"/>
      <c r="B117" s="266"/>
      <c r="C117" s="263"/>
      <c r="D117" s="262"/>
      <c r="E117" s="262"/>
      <c r="F117" s="262"/>
      <c r="G117" s="262"/>
      <c r="H117" s="262"/>
      <c r="I117" s="262"/>
      <c r="J117" s="262"/>
      <c r="K117" s="262"/>
      <c r="L117" s="262"/>
      <c r="M117" s="262"/>
      <c r="N117" s="262"/>
      <c r="O117" s="262"/>
      <c r="P117" s="262"/>
      <c r="Q117" s="262"/>
      <c r="R117" s="262"/>
      <c r="S117" s="262"/>
      <c r="CM117" s="210"/>
      <c r="CN117" s="213" t="s">
        <v>1309</v>
      </c>
      <c r="CO117" s="213" t="s">
        <v>878</v>
      </c>
      <c r="CP117" s="213" t="s">
        <v>879</v>
      </c>
      <c r="CQ117" s="213" t="s">
        <v>1310</v>
      </c>
      <c r="CR117" s="213" t="s">
        <v>1310</v>
      </c>
      <c r="CS117" s="213" t="s">
        <v>881</v>
      </c>
      <c r="CT117" s="213" t="s">
        <v>882</v>
      </c>
      <c r="CU117" s="213" t="s">
        <v>883</v>
      </c>
      <c r="CV117" s="214" t="s">
        <v>884</v>
      </c>
      <c r="CX117" s="212">
        <v>1</v>
      </c>
    </row>
    <row r="118" spans="1:102" ht="21" customHeight="1">
      <c r="A118" s="262"/>
      <c r="B118" s="267" t="s">
        <v>1311</v>
      </c>
      <c r="C118" s="264"/>
      <c r="D118" s="262"/>
      <c r="E118" s="262"/>
      <c r="F118" s="262"/>
      <c r="G118" s="262"/>
      <c r="H118" s="262"/>
      <c r="I118" s="262"/>
      <c r="J118" s="262"/>
      <c r="K118" s="262"/>
      <c r="L118" s="262"/>
      <c r="M118" s="262"/>
      <c r="N118" s="262"/>
      <c r="O118" s="262"/>
      <c r="P118" s="262"/>
      <c r="Q118" s="262"/>
      <c r="R118" s="262"/>
      <c r="S118" s="262"/>
      <c r="CM118" s="210"/>
      <c r="CN118" s="213" t="s">
        <v>1312</v>
      </c>
      <c r="CO118" s="213" t="s">
        <v>878</v>
      </c>
      <c r="CP118" s="213" t="s">
        <v>879</v>
      </c>
      <c r="CQ118" s="213" t="s">
        <v>1313</v>
      </c>
      <c r="CR118" s="213" t="s">
        <v>1313</v>
      </c>
      <c r="CS118" s="213" t="s">
        <v>881</v>
      </c>
      <c r="CT118" s="213" t="s">
        <v>882</v>
      </c>
      <c r="CU118" s="213" t="s">
        <v>883</v>
      </c>
      <c r="CV118" s="214" t="s">
        <v>884</v>
      </c>
      <c r="CX118" s="212">
        <v>1</v>
      </c>
    </row>
    <row r="119" spans="1:102" ht="21" customHeight="1">
      <c r="A119" s="262"/>
      <c r="B119" s="257" t="s">
        <v>983</v>
      </c>
      <c r="C119" s="263" t="s">
        <v>1314</v>
      </c>
      <c r="D119" s="262"/>
      <c r="E119" s="262"/>
      <c r="F119" s="262"/>
      <c r="G119" s="262"/>
      <c r="H119" s="262"/>
      <c r="I119" s="262"/>
      <c r="J119" s="262"/>
      <c r="K119" s="262"/>
      <c r="L119" s="262"/>
      <c r="M119" s="262"/>
      <c r="N119" s="262"/>
      <c r="O119" s="262"/>
      <c r="P119" s="262"/>
      <c r="Q119" s="262"/>
      <c r="R119" s="262"/>
      <c r="S119" s="262"/>
      <c r="CM119" s="210"/>
      <c r="CN119" s="213" t="s">
        <v>1315</v>
      </c>
      <c r="CO119" s="213" t="s">
        <v>878</v>
      </c>
      <c r="CP119" s="213" t="s">
        <v>879</v>
      </c>
      <c r="CQ119" s="213" t="s">
        <v>1316</v>
      </c>
      <c r="CR119" s="213" t="s">
        <v>1317</v>
      </c>
      <c r="CS119" s="213" t="s">
        <v>881</v>
      </c>
      <c r="CT119" s="213" t="s">
        <v>882</v>
      </c>
      <c r="CU119" s="213" t="s">
        <v>883</v>
      </c>
      <c r="CV119" s="214" t="s">
        <v>884</v>
      </c>
      <c r="CX119" s="212">
        <v>1</v>
      </c>
    </row>
    <row r="120" spans="1:102" ht="21" customHeight="1">
      <c r="A120" s="262"/>
      <c r="B120" s="257" t="s">
        <v>1318</v>
      </c>
      <c r="C120" s="263" t="s">
        <v>1319</v>
      </c>
      <c r="D120" s="262"/>
      <c r="E120" s="262"/>
      <c r="F120" s="262"/>
      <c r="G120" s="262"/>
      <c r="H120" s="262"/>
      <c r="I120" s="262"/>
      <c r="J120" s="262"/>
      <c r="K120" s="262"/>
      <c r="L120" s="262"/>
      <c r="M120" s="262"/>
      <c r="N120" s="262"/>
      <c r="O120" s="262"/>
      <c r="P120" s="262"/>
      <c r="Q120" s="262"/>
      <c r="R120" s="262"/>
      <c r="S120" s="262"/>
      <c r="CM120" s="210"/>
      <c r="CN120" s="213" t="s">
        <v>1320</v>
      </c>
      <c r="CO120" s="213" t="s">
        <v>878</v>
      </c>
      <c r="CP120" s="213" t="s">
        <v>879</v>
      </c>
      <c r="CQ120" s="213" t="s">
        <v>1321</v>
      </c>
      <c r="CR120" s="213" t="s">
        <v>1322</v>
      </c>
      <c r="CS120" s="213" t="s">
        <v>881</v>
      </c>
      <c r="CT120" s="213" t="s">
        <v>882</v>
      </c>
      <c r="CU120" s="213" t="s">
        <v>883</v>
      </c>
      <c r="CV120" s="214" t="s">
        <v>884</v>
      </c>
      <c r="CX120" s="212">
        <v>1</v>
      </c>
    </row>
    <row r="121" spans="1:102" ht="21" customHeight="1">
      <c r="A121" s="262"/>
      <c r="B121" s="257" t="s">
        <v>1323</v>
      </c>
      <c r="C121" s="263" t="s">
        <v>1324</v>
      </c>
      <c r="D121" s="262"/>
      <c r="E121" s="262"/>
      <c r="F121" s="262"/>
      <c r="G121" s="262"/>
      <c r="H121" s="262"/>
      <c r="I121" s="262"/>
      <c r="J121" s="262"/>
      <c r="K121" s="262"/>
      <c r="L121" s="262"/>
      <c r="M121" s="262"/>
      <c r="N121" s="262"/>
      <c r="O121" s="262"/>
      <c r="P121" s="262"/>
      <c r="Q121" s="262"/>
      <c r="R121" s="262"/>
      <c r="S121" s="262"/>
      <c r="CM121" s="210"/>
      <c r="CN121" s="213" t="s">
        <v>1325</v>
      </c>
      <c r="CO121" s="213" t="s">
        <v>878</v>
      </c>
      <c r="CP121" s="213" t="s">
        <v>879</v>
      </c>
      <c r="CQ121" s="213" t="s">
        <v>1326</v>
      </c>
      <c r="CR121" s="213" t="s">
        <v>1326</v>
      </c>
      <c r="CS121" s="213" t="s">
        <v>881</v>
      </c>
      <c r="CT121" s="213" t="s">
        <v>882</v>
      </c>
      <c r="CU121" s="213" t="s">
        <v>883</v>
      </c>
      <c r="CV121" s="214" t="s">
        <v>884</v>
      </c>
      <c r="CX121" s="212">
        <v>1</v>
      </c>
    </row>
    <row r="122" spans="1:102" ht="21" customHeight="1">
      <c r="A122" s="262"/>
      <c r="B122" s="265" t="s">
        <v>1327</v>
      </c>
      <c r="C122" s="263" t="s">
        <v>1328</v>
      </c>
      <c r="D122" s="262"/>
      <c r="E122" s="262"/>
      <c r="F122" s="262"/>
      <c r="G122" s="262"/>
      <c r="H122" s="262"/>
      <c r="I122" s="262"/>
      <c r="J122" s="262"/>
      <c r="K122" s="262"/>
      <c r="L122" s="262"/>
      <c r="M122" s="262"/>
      <c r="N122" s="262"/>
      <c r="O122" s="262"/>
      <c r="P122" s="262"/>
      <c r="Q122" s="262"/>
      <c r="R122" s="262"/>
      <c r="S122" s="262"/>
      <c r="CM122" s="210"/>
      <c r="CN122" s="213" t="s">
        <v>1329</v>
      </c>
      <c r="CO122" s="213" t="s">
        <v>878</v>
      </c>
      <c r="CP122" s="213" t="s">
        <v>879</v>
      </c>
      <c r="CQ122" s="213" t="s">
        <v>1330</v>
      </c>
      <c r="CR122" s="213" t="s">
        <v>1330</v>
      </c>
      <c r="CS122" s="213" t="s">
        <v>881</v>
      </c>
      <c r="CT122" s="213" t="s">
        <v>882</v>
      </c>
      <c r="CU122" s="213" t="s">
        <v>883</v>
      </c>
      <c r="CV122" s="214" t="s">
        <v>884</v>
      </c>
      <c r="CX122" s="212">
        <v>1</v>
      </c>
    </row>
    <row r="123" spans="1:102" ht="21" customHeight="1">
      <c r="A123" s="262"/>
      <c r="B123" s="257" t="s">
        <v>1331</v>
      </c>
      <c r="C123" s="263" t="s">
        <v>1332</v>
      </c>
      <c r="D123" s="262"/>
      <c r="E123" s="262"/>
      <c r="F123" s="262"/>
      <c r="G123" s="262"/>
      <c r="H123" s="262"/>
      <c r="I123" s="262"/>
      <c r="J123" s="262"/>
      <c r="K123" s="262"/>
      <c r="L123" s="262"/>
      <c r="M123" s="262"/>
      <c r="N123" s="262"/>
      <c r="O123" s="262"/>
      <c r="P123" s="262"/>
      <c r="Q123" s="262"/>
      <c r="R123" s="262"/>
      <c r="S123" s="262"/>
      <c r="CM123" s="210"/>
      <c r="CN123" s="213" t="s">
        <v>1333</v>
      </c>
      <c r="CO123" s="213" t="s">
        <v>878</v>
      </c>
      <c r="CP123" s="213" t="s">
        <v>879</v>
      </c>
      <c r="CQ123" s="213" t="s">
        <v>1334</v>
      </c>
      <c r="CR123" s="213" t="s">
        <v>1334</v>
      </c>
      <c r="CS123" s="213" t="s">
        <v>881</v>
      </c>
      <c r="CT123" s="213" t="s">
        <v>882</v>
      </c>
      <c r="CU123" s="213" t="s">
        <v>883</v>
      </c>
      <c r="CV123" s="214" t="s">
        <v>884</v>
      </c>
      <c r="CX123" s="212">
        <v>1</v>
      </c>
    </row>
    <row r="124" spans="1:102" ht="21" customHeight="1">
      <c r="A124" s="262"/>
      <c r="B124" s="257"/>
      <c r="C124" s="263" t="s">
        <v>1335</v>
      </c>
      <c r="D124" s="262"/>
      <c r="E124" s="262"/>
      <c r="F124" s="262"/>
      <c r="G124" s="262"/>
      <c r="H124" s="262"/>
      <c r="I124" s="262"/>
      <c r="J124" s="262"/>
      <c r="K124" s="262"/>
      <c r="L124" s="262"/>
      <c r="M124" s="262"/>
      <c r="N124" s="262"/>
      <c r="O124" s="262"/>
      <c r="P124" s="262"/>
      <c r="Q124" s="262"/>
      <c r="R124" s="262"/>
      <c r="S124" s="262"/>
      <c r="CM124" s="210"/>
      <c r="CN124" s="213" t="s">
        <v>1336</v>
      </c>
      <c r="CO124" s="213" t="s">
        <v>878</v>
      </c>
      <c r="CP124" s="213" t="s">
        <v>879</v>
      </c>
      <c r="CQ124" s="213" t="s">
        <v>1337</v>
      </c>
      <c r="CR124" s="213" t="s">
        <v>1337</v>
      </c>
      <c r="CS124" s="213" t="s">
        <v>881</v>
      </c>
      <c r="CT124" s="213" t="s">
        <v>882</v>
      </c>
      <c r="CU124" s="213" t="s">
        <v>883</v>
      </c>
      <c r="CV124" s="214" t="s">
        <v>884</v>
      </c>
      <c r="CX124" s="212">
        <v>1</v>
      </c>
    </row>
    <row r="125" spans="1:102" ht="21" customHeight="1">
      <c r="A125" s="262"/>
      <c r="B125" s="257" t="s">
        <v>1052</v>
      </c>
      <c r="C125" s="263" t="s">
        <v>1338</v>
      </c>
      <c r="D125" s="262"/>
      <c r="E125" s="262"/>
      <c r="F125" s="262"/>
      <c r="G125" s="262"/>
      <c r="H125" s="262"/>
      <c r="I125" s="262"/>
      <c r="J125" s="262"/>
      <c r="K125" s="262"/>
      <c r="L125" s="262"/>
      <c r="M125" s="262"/>
      <c r="N125" s="262"/>
      <c r="O125" s="262"/>
      <c r="P125" s="262"/>
      <c r="Q125" s="262"/>
      <c r="R125" s="262"/>
      <c r="S125" s="262"/>
      <c r="CM125" s="210"/>
      <c r="CN125" s="213" t="s">
        <v>1339</v>
      </c>
      <c r="CO125" s="213" t="s">
        <v>878</v>
      </c>
      <c r="CP125" s="213" t="s">
        <v>879</v>
      </c>
      <c r="CQ125" s="213" t="s">
        <v>1340</v>
      </c>
      <c r="CR125" s="213" t="s">
        <v>1340</v>
      </c>
      <c r="CS125" s="213" t="s">
        <v>971</v>
      </c>
      <c r="CT125" s="213" t="s">
        <v>972</v>
      </c>
      <c r="CU125" s="213" t="s">
        <v>883</v>
      </c>
      <c r="CV125" s="214" t="s">
        <v>973</v>
      </c>
      <c r="CX125" s="212">
        <v>1</v>
      </c>
    </row>
    <row r="126" spans="1:102" ht="21" customHeight="1">
      <c r="A126" s="262"/>
      <c r="B126" s="265" t="s">
        <v>1341</v>
      </c>
      <c r="C126" s="263" t="s">
        <v>1342</v>
      </c>
      <c r="D126" s="262"/>
      <c r="E126" s="262"/>
      <c r="F126" s="262"/>
      <c r="G126" s="262"/>
      <c r="H126" s="262"/>
      <c r="I126" s="262"/>
      <c r="J126" s="262"/>
      <c r="K126" s="262"/>
      <c r="L126" s="262"/>
      <c r="M126" s="262"/>
      <c r="N126" s="262"/>
      <c r="O126" s="262"/>
      <c r="P126" s="262"/>
      <c r="Q126" s="262"/>
      <c r="R126" s="262"/>
      <c r="S126" s="262"/>
      <c r="CM126" s="210"/>
      <c r="CN126" s="213" t="s">
        <v>1343</v>
      </c>
      <c r="CO126" s="213" t="s">
        <v>878</v>
      </c>
      <c r="CP126" s="213" t="s">
        <v>879</v>
      </c>
      <c r="CQ126" s="213" t="s">
        <v>1344</v>
      </c>
      <c r="CR126" s="213" t="s">
        <v>1344</v>
      </c>
      <c r="CS126" s="213" t="s">
        <v>881</v>
      </c>
      <c r="CT126" s="213" t="s">
        <v>882</v>
      </c>
      <c r="CU126" s="213" t="s">
        <v>883</v>
      </c>
      <c r="CV126" s="214" t="s">
        <v>884</v>
      </c>
      <c r="CX126" s="268"/>
    </row>
    <row r="127" spans="1:102" ht="21" customHeight="1">
      <c r="A127" s="262"/>
      <c r="B127" s="266"/>
      <c r="C127" s="263" t="s">
        <v>1345</v>
      </c>
      <c r="D127" s="262"/>
      <c r="E127" s="262"/>
      <c r="F127" s="262"/>
      <c r="G127" s="262"/>
      <c r="H127" s="262"/>
      <c r="I127" s="262"/>
      <c r="J127" s="262"/>
      <c r="K127" s="262"/>
      <c r="L127" s="262"/>
      <c r="M127" s="262"/>
      <c r="N127" s="262"/>
      <c r="O127" s="262"/>
      <c r="P127" s="262"/>
      <c r="Q127" s="262"/>
      <c r="R127" s="262"/>
      <c r="S127" s="262"/>
      <c r="CM127" s="210"/>
      <c r="CN127" s="213" t="s">
        <v>1346</v>
      </c>
      <c r="CO127" s="213" t="s">
        <v>878</v>
      </c>
      <c r="CP127" s="213" t="s">
        <v>879</v>
      </c>
      <c r="CQ127" s="213" t="s">
        <v>1347</v>
      </c>
      <c r="CR127" s="213" t="s">
        <v>1347</v>
      </c>
      <c r="CS127" s="213" t="s">
        <v>881</v>
      </c>
      <c r="CT127" s="213" t="s">
        <v>882</v>
      </c>
      <c r="CU127" s="213" t="s">
        <v>883</v>
      </c>
      <c r="CV127" s="214" t="s">
        <v>884</v>
      </c>
      <c r="CX127" s="268"/>
    </row>
    <row r="128" spans="1:102" ht="21" customHeight="1">
      <c r="A128" s="262"/>
      <c r="B128" s="266"/>
      <c r="C128" s="263"/>
      <c r="D128" s="262"/>
      <c r="E128" s="262"/>
      <c r="F128" s="262"/>
      <c r="G128" s="262"/>
      <c r="H128" s="262"/>
      <c r="I128" s="262"/>
      <c r="J128" s="262"/>
      <c r="K128" s="262"/>
      <c r="L128" s="262"/>
      <c r="M128" s="262"/>
      <c r="N128" s="262"/>
      <c r="O128" s="262"/>
      <c r="P128" s="262"/>
      <c r="Q128" s="262"/>
      <c r="R128" s="262"/>
      <c r="S128" s="262"/>
      <c r="CM128" s="210"/>
      <c r="CN128" s="213" t="s">
        <v>1348</v>
      </c>
      <c r="CO128" s="213" t="s">
        <v>878</v>
      </c>
      <c r="CP128" s="213" t="s">
        <v>879</v>
      </c>
      <c r="CQ128" s="213" t="s">
        <v>1349</v>
      </c>
      <c r="CR128" s="213" t="s">
        <v>1349</v>
      </c>
      <c r="CS128" s="213" t="s">
        <v>881</v>
      </c>
      <c r="CT128" s="213" t="s">
        <v>882</v>
      </c>
      <c r="CU128" s="213" t="s">
        <v>883</v>
      </c>
      <c r="CV128" s="214" t="s">
        <v>884</v>
      </c>
      <c r="CX128" s="268"/>
    </row>
    <row r="129" spans="1:102" ht="21" customHeight="1">
      <c r="A129" s="263"/>
      <c r="B129" s="269" t="s">
        <v>1350</v>
      </c>
      <c r="C129" s="270"/>
      <c r="D129" s="263"/>
      <c r="E129" s="263"/>
      <c r="F129" s="263"/>
      <c r="G129" s="263"/>
      <c r="H129" s="263"/>
      <c r="I129" s="263"/>
      <c r="J129" s="263"/>
      <c r="K129" s="263"/>
      <c r="L129" s="263"/>
      <c r="M129" s="263"/>
      <c r="N129" s="263"/>
      <c r="O129" s="263"/>
      <c r="P129" s="263"/>
      <c r="Q129" s="263"/>
      <c r="R129" s="263"/>
      <c r="S129" s="263"/>
      <c r="CM129" s="210"/>
      <c r="CN129" s="213" t="s">
        <v>1351</v>
      </c>
      <c r="CO129" s="213" t="s">
        <v>878</v>
      </c>
      <c r="CP129" s="213" t="s">
        <v>879</v>
      </c>
      <c r="CQ129" s="213" t="s">
        <v>1352</v>
      </c>
      <c r="CR129" s="213" t="s">
        <v>1353</v>
      </c>
      <c r="CS129" s="213" t="s">
        <v>881</v>
      </c>
      <c r="CT129" s="213" t="s">
        <v>882</v>
      </c>
      <c r="CU129" s="213" t="s">
        <v>883</v>
      </c>
      <c r="CV129" s="214" t="s">
        <v>884</v>
      </c>
      <c r="CX129" s="268"/>
    </row>
    <row r="130" spans="1:102" ht="21" customHeight="1">
      <c r="A130" s="263"/>
      <c r="B130" s="271" t="s">
        <v>1354</v>
      </c>
      <c r="C130" s="272" t="s">
        <v>1355</v>
      </c>
      <c r="D130" s="263"/>
      <c r="E130" s="263"/>
      <c r="F130" s="263"/>
      <c r="G130" s="263"/>
      <c r="H130" s="263"/>
      <c r="I130" s="263"/>
      <c r="J130" s="263"/>
      <c r="K130" s="263"/>
      <c r="L130" s="263"/>
      <c r="M130" s="263"/>
      <c r="N130" s="263"/>
      <c r="O130" s="263"/>
      <c r="P130" s="263"/>
      <c r="Q130" s="263"/>
      <c r="R130" s="263"/>
      <c r="S130" s="263"/>
      <c r="CM130" s="210"/>
      <c r="CN130" s="213" t="s">
        <v>1356</v>
      </c>
      <c r="CO130" s="213" t="s">
        <v>878</v>
      </c>
      <c r="CP130" s="213" t="s">
        <v>879</v>
      </c>
      <c r="CQ130" s="213" t="s">
        <v>1357</v>
      </c>
      <c r="CR130" s="213" t="s">
        <v>1357</v>
      </c>
      <c r="CS130" s="213" t="s">
        <v>881</v>
      </c>
      <c r="CT130" s="213" t="s">
        <v>882</v>
      </c>
      <c r="CU130" s="213" t="s">
        <v>883</v>
      </c>
      <c r="CV130" s="214" t="s">
        <v>884</v>
      </c>
      <c r="CX130" s="268"/>
    </row>
    <row r="131" spans="1:102" ht="21" customHeight="1">
      <c r="A131" s="263"/>
      <c r="B131" s="271" t="s">
        <v>1358</v>
      </c>
      <c r="C131" s="272" t="s">
        <v>1359</v>
      </c>
      <c r="D131" s="263"/>
      <c r="E131" s="263"/>
      <c r="F131" s="263"/>
      <c r="G131" s="263"/>
      <c r="H131" s="263"/>
      <c r="I131" s="263"/>
      <c r="J131" s="263"/>
      <c r="K131" s="263"/>
      <c r="L131" s="263"/>
      <c r="M131" s="263"/>
      <c r="N131" s="263"/>
      <c r="O131" s="263"/>
      <c r="P131" s="263"/>
      <c r="Q131" s="263"/>
      <c r="R131" s="263"/>
      <c r="S131" s="263"/>
      <c r="CM131" s="210"/>
      <c r="CN131" s="213" t="s">
        <v>1360</v>
      </c>
      <c r="CO131" s="213" t="s">
        <v>878</v>
      </c>
      <c r="CP131" s="213" t="s">
        <v>879</v>
      </c>
      <c r="CQ131" s="213" t="s">
        <v>1361</v>
      </c>
      <c r="CR131" s="213" t="s">
        <v>1361</v>
      </c>
      <c r="CS131" s="213" t="s">
        <v>881</v>
      </c>
      <c r="CT131" s="213" t="s">
        <v>882</v>
      </c>
      <c r="CU131" s="213" t="s">
        <v>883</v>
      </c>
      <c r="CV131" s="214" t="s">
        <v>884</v>
      </c>
      <c r="CX131" s="268"/>
    </row>
    <row r="132" spans="1:102" ht="21" customHeight="1">
      <c r="A132" s="263"/>
      <c r="B132" s="271"/>
      <c r="C132" s="272" t="s">
        <v>1362</v>
      </c>
      <c r="D132" s="263"/>
      <c r="E132" s="263"/>
      <c r="F132" s="263"/>
      <c r="G132" s="263"/>
      <c r="H132" s="263"/>
      <c r="I132" s="263"/>
      <c r="J132" s="263"/>
      <c r="K132" s="263"/>
      <c r="L132" s="263"/>
      <c r="M132" s="263"/>
      <c r="N132" s="263"/>
      <c r="O132" s="263"/>
      <c r="P132" s="263"/>
      <c r="Q132" s="263"/>
      <c r="R132" s="263"/>
      <c r="S132" s="263"/>
      <c r="CM132" s="210"/>
      <c r="CN132" s="213" t="s">
        <v>1363</v>
      </c>
      <c r="CO132" s="213" t="s">
        <v>878</v>
      </c>
      <c r="CP132" s="213" t="s">
        <v>879</v>
      </c>
      <c r="CQ132" s="213" t="s">
        <v>1364</v>
      </c>
      <c r="CR132" s="213" t="s">
        <v>1364</v>
      </c>
      <c r="CS132" s="213" t="s">
        <v>881</v>
      </c>
      <c r="CT132" s="213" t="s">
        <v>882</v>
      </c>
      <c r="CU132" s="213" t="s">
        <v>883</v>
      </c>
      <c r="CV132" s="214" t="s">
        <v>884</v>
      </c>
      <c r="CX132" s="268"/>
    </row>
    <row r="133" spans="1:102" ht="21" customHeight="1">
      <c r="A133" s="263"/>
      <c r="B133" s="271" t="s">
        <v>1365</v>
      </c>
      <c r="C133" s="272" t="s">
        <v>1366</v>
      </c>
      <c r="D133" s="263"/>
      <c r="E133" s="263"/>
      <c r="F133" s="263"/>
      <c r="G133" s="263"/>
      <c r="H133" s="263"/>
      <c r="I133" s="263"/>
      <c r="J133" s="263"/>
      <c r="K133" s="263"/>
      <c r="L133" s="263"/>
      <c r="M133" s="263"/>
      <c r="N133" s="263"/>
      <c r="O133" s="263"/>
      <c r="P133" s="263"/>
      <c r="Q133" s="263"/>
      <c r="R133" s="263"/>
      <c r="S133" s="263"/>
      <c r="CM133" s="210"/>
      <c r="CN133" s="213" t="s">
        <v>1367</v>
      </c>
      <c r="CO133" s="213" t="s">
        <v>878</v>
      </c>
      <c r="CP133" s="213" t="s">
        <v>879</v>
      </c>
      <c r="CQ133" s="213" t="s">
        <v>1368</v>
      </c>
      <c r="CR133" s="213" t="s">
        <v>1369</v>
      </c>
      <c r="CS133" s="213" t="s">
        <v>881</v>
      </c>
      <c r="CT133" s="213" t="s">
        <v>882</v>
      </c>
      <c r="CU133" s="213" t="s">
        <v>883</v>
      </c>
      <c r="CV133" s="214" t="s">
        <v>884</v>
      </c>
      <c r="CX133" s="268"/>
    </row>
    <row r="134" spans="1:102" ht="21" customHeight="1">
      <c r="A134" s="263"/>
      <c r="B134" s="271"/>
      <c r="C134" s="272" t="s">
        <v>1370</v>
      </c>
      <c r="D134" s="263"/>
      <c r="E134" s="263"/>
      <c r="F134" s="263"/>
      <c r="G134" s="263"/>
      <c r="H134" s="263"/>
      <c r="I134" s="263"/>
      <c r="J134" s="263"/>
      <c r="K134" s="263"/>
      <c r="L134" s="263"/>
      <c r="M134" s="263"/>
      <c r="N134" s="263"/>
      <c r="O134" s="263"/>
      <c r="P134" s="263"/>
      <c r="Q134" s="263"/>
      <c r="R134" s="263"/>
      <c r="S134" s="263"/>
      <c r="CM134" s="210"/>
      <c r="CN134" s="213" t="s">
        <v>1371</v>
      </c>
      <c r="CO134" s="213" t="s">
        <v>878</v>
      </c>
      <c r="CP134" s="213" t="s">
        <v>879</v>
      </c>
      <c r="CQ134" s="213" t="s">
        <v>1372</v>
      </c>
      <c r="CR134" s="213" t="s">
        <v>1372</v>
      </c>
      <c r="CS134" s="213" t="s">
        <v>881</v>
      </c>
      <c r="CT134" s="213" t="s">
        <v>882</v>
      </c>
      <c r="CU134" s="213" t="s">
        <v>883</v>
      </c>
      <c r="CV134" s="214" t="s">
        <v>884</v>
      </c>
      <c r="CX134" s="268"/>
    </row>
    <row r="135" spans="1:102" ht="21" customHeight="1">
      <c r="A135" s="263"/>
      <c r="B135" s="273"/>
      <c r="C135" s="273"/>
      <c r="D135" s="263"/>
      <c r="E135" s="263"/>
      <c r="F135" s="263"/>
      <c r="G135" s="263"/>
      <c r="H135" s="263"/>
      <c r="I135" s="263"/>
      <c r="J135" s="263"/>
      <c r="K135" s="263"/>
      <c r="L135" s="263"/>
      <c r="M135" s="263"/>
      <c r="N135" s="263"/>
      <c r="O135" s="263"/>
      <c r="P135" s="263"/>
      <c r="Q135" s="263"/>
      <c r="R135" s="263"/>
      <c r="S135" s="263"/>
      <c r="CM135" s="210"/>
      <c r="CN135" s="213" t="s">
        <v>1373</v>
      </c>
      <c r="CO135" s="213" t="s">
        <v>878</v>
      </c>
      <c r="CP135" s="213" t="s">
        <v>879</v>
      </c>
      <c r="CQ135" s="213" t="s">
        <v>1374</v>
      </c>
      <c r="CR135" s="213" t="s">
        <v>1374</v>
      </c>
      <c r="CS135" s="213" t="s">
        <v>971</v>
      </c>
      <c r="CT135" s="213" t="s">
        <v>972</v>
      </c>
      <c r="CU135" s="213" t="s">
        <v>883</v>
      </c>
      <c r="CV135" s="214" t="s">
        <v>973</v>
      </c>
      <c r="CX135" s="268"/>
    </row>
    <row r="136" spans="1:102" ht="21" customHeight="1">
      <c r="A136" s="263"/>
      <c r="B136" s="274" t="s">
        <v>147</v>
      </c>
      <c r="C136" s="274" t="s">
        <v>1375</v>
      </c>
      <c r="D136" s="262"/>
      <c r="E136" s="262"/>
      <c r="F136" s="263"/>
      <c r="G136" s="263"/>
      <c r="H136" s="263"/>
      <c r="I136" s="262"/>
      <c r="J136" s="263"/>
      <c r="K136" s="263"/>
      <c r="L136" s="262"/>
      <c r="M136" s="263"/>
      <c r="N136" s="263"/>
      <c r="O136" s="263"/>
      <c r="P136" s="263"/>
      <c r="Q136" s="263"/>
      <c r="R136" s="263"/>
      <c r="S136" s="263"/>
      <c r="CM136" s="210"/>
      <c r="CN136" s="213" t="s">
        <v>1376</v>
      </c>
      <c r="CO136" s="213" t="s">
        <v>878</v>
      </c>
      <c r="CP136" s="213" t="s">
        <v>879</v>
      </c>
      <c r="CQ136" s="213" t="s">
        <v>1377</v>
      </c>
      <c r="CR136" s="213" t="s">
        <v>1377</v>
      </c>
      <c r="CS136" s="213" t="s">
        <v>881</v>
      </c>
      <c r="CT136" s="213" t="s">
        <v>882</v>
      </c>
      <c r="CU136" s="213" t="s">
        <v>883</v>
      </c>
      <c r="CV136" s="214" t="s">
        <v>884</v>
      </c>
      <c r="CX136" s="268"/>
    </row>
    <row r="137" spans="1:102" ht="21" customHeight="1">
      <c r="A137" s="263"/>
      <c r="B137" s="275" t="s">
        <v>1378</v>
      </c>
      <c r="C137" s="272" t="s">
        <v>1379</v>
      </c>
      <c r="D137" s="262"/>
      <c r="E137" s="262"/>
      <c r="F137" s="263"/>
      <c r="G137" s="263"/>
      <c r="H137" s="263"/>
      <c r="I137" s="262"/>
      <c r="J137" s="263"/>
      <c r="K137" s="263"/>
      <c r="L137" s="262"/>
      <c r="M137" s="263"/>
      <c r="N137" s="263"/>
      <c r="O137" s="263"/>
      <c r="P137" s="263"/>
      <c r="Q137" s="263"/>
      <c r="R137" s="263"/>
      <c r="S137" s="263"/>
      <c r="CM137" s="210"/>
      <c r="CN137" s="213" t="s">
        <v>1380</v>
      </c>
      <c r="CO137" s="213" t="s">
        <v>878</v>
      </c>
      <c r="CP137" s="213" t="s">
        <v>879</v>
      </c>
      <c r="CQ137" s="213" t="s">
        <v>1381</v>
      </c>
      <c r="CR137" s="213" t="s">
        <v>1381</v>
      </c>
      <c r="CS137" s="213" t="s">
        <v>881</v>
      </c>
      <c r="CT137" s="213" t="s">
        <v>882</v>
      </c>
      <c r="CU137" s="213" t="s">
        <v>883</v>
      </c>
      <c r="CV137" s="214" t="s">
        <v>884</v>
      </c>
      <c r="CX137" s="268"/>
    </row>
    <row r="138" spans="1:102" ht="21" customHeight="1">
      <c r="A138" s="263"/>
      <c r="B138" s="275" t="s">
        <v>1382</v>
      </c>
      <c r="C138" s="272" t="s">
        <v>1383</v>
      </c>
      <c r="D138" s="262"/>
      <c r="E138" s="262"/>
      <c r="F138" s="263"/>
      <c r="G138" s="263"/>
      <c r="H138" s="263"/>
      <c r="I138" s="262"/>
      <c r="J138" s="263"/>
      <c r="K138" s="263"/>
      <c r="L138" s="262"/>
      <c r="M138" s="263"/>
      <c r="N138" s="263"/>
      <c r="O138" s="263"/>
      <c r="P138" s="263"/>
      <c r="Q138" s="263"/>
      <c r="R138" s="263"/>
      <c r="S138" s="263"/>
      <c r="CM138" s="210"/>
      <c r="CN138" s="213" t="s">
        <v>1384</v>
      </c>
      <c r="CO138" s="213" t="s">
        <v>878</v>
      </c>
      <c r="CP138" s="213" t="s">
        <v>879</v>
      </c>
      <c r="CQ138" s="213" t="s">
        <v>1385</v>
      </c>
      <c r="CR138" s="213" t="s">
        <v>1386</v>
      </c>
      <c r="CS138" s="213" t="s">
        <v>881</v>
      </c>
      <c r="CT138" s="213" t="s">
        <v>882</v>
      </c>
      <c r="CU138" s="213" t="s">
        <v>883</v>
      </c>
      <c r="CV138" s="214" t="s">
        <v>884</v>
      </c>
      <c r="CX138" s="268"/>
    </row>
    <row r="139" spans="1:102" ht="21" customHeight="1">
      <c r="A139" s="263"/>
      <c r="B139" s="275" t="s">
        <v>1387</v>
      </c>
      <c r="C139" s="272" t="s">
        <v>1388</v>
      </c>
      <c r="D139" s="262"/>
      <c r="E139" s="262"/>
      <c r="F139" s="263"/>
      <c r="G139" s="263"/>
      <c r="H139" s="263"/>
      <c r="I139" s="262"/>
      <c r="J139" s="263"/>
      <c r="K139" s="263"/>
      <c r="L139" s="262"/>
      <c r="M139" s="263"/>
      <c r="N139" s="263"/>
      <c r="O139" s="263"/>
      <c r="P139" s="263"/>
      <c r="Q139" s="263"/>
      <c r="R139" s="263"/>
      <c r="S139" s="263"/>
      <c r="CM139" s="210"/>
      <c r="CN139" s="213" t="s">
        <v>1389</v>
      </c>
      <c r="CO139" s="213" t="s">
        <v>878</v>
      </c>
      <c r="CP139" s="213" t="s">
        <v>879</v>
      </c>
      <c r="CQ139" s="213" t="s">
        <v>1390</v>
      </c>
      <c r="CR139" s="213" t="s">
        <v>1390</v>
      </c>
      <c r="CS139" s="213" t="s">
        <v>881</v>
      </c>
      <c r="CT139" s="213" t="s">
        <v>882</v>
      </c>
      <c r="CU139" s="213" t="s">
        <v>883</v>
      </c>
      <c r="CV139" s="214" t="s">
        <v>884</v>
      </c>
      <c r="CX139" s="268"/>
    </row>
    <row r="140" spans="1:102" ht="21" customHeight="1">
      <c r="A140" s="263"/>
      <c r="B140" s="275" t="s">
        <v>1391</v>
      </c>
      <c r="C140" s="272" t="s">
        <v>1392</v>
      </c>
      <c r="D140" s="262"/>
      <c r="E140" s="262"/>
      <c r="F140" s="263"/>
      <c r="G140" s="263"/>
      <c r="H140" s="263"/>
      <c r="I140" s="262"/>
      <c r="J140" s="263"/>
      <c r="K140" s="263"/>
      <c r="L140" s="262"/>
      <c r="M140" s="263"/>
      <c r="N140" s="263"/>
      <c r="O140" s="263"/>
      <c r="P140" s="263"/>
      <c r="Q140" s="263"/>
      <c r="R140" s="263"/>
      <c r="S140" s="263"/>
      <c r="CM140" s="210"/>
      <c r="CN140" s="213" t="s">
        <v>1393</v>
      </c>
      <c r="CO140" s="213" t="s">
        <v>878</v>
      </c>
      <c r="CP140" s="213" t="s">
        <v>879</v>
      </c>
      <c r="CQ140" s="213" t="s">
        <v>1394</v>
      </c>
      <c r="CR140" s="213" t="s">
        <v>1394</v>
      </c>
      <c r="CS140" s="213" t="s">
        <v>881</v>
      </c>
      <c r="CT140" s="213" t="s">
        <v>882</v>
      </c>
      <c r="CU140" s="213" t="s">
        <v>883</v>
      </c>
      <c r="CV140" s="214" t="s">
        <v>884</v>
      </c>
      <c r="CX140" s="268"/>
    </row>
    <row r="141" spans="1:102" ht="21" customHeight="1">
      <c r="A141" s="263"/>
      <c r="B141" s="275" t="s">
        <v>1395</v>
      </c>
      <c r="C141" s="272" t="s">
        <v>1396</v>
      </c>
      <c r="D141" s="262"/>
      <c r="E141" s="262"/>
      <c r="F141" s="263"/>
      <c r="G141" s="263"/>
      <c r="H141" s="263"/>
      <c r="I141" s="262"/>
      <c r="J141" s="263"/>
      <c r="K141" s="263"/>
      <c r="L141" s="262"/>
      <c r="M141" s="263"/>
      <c r="N141" s="263"/>
      <c r="O141" s="263"/>
      <c r="P141" s="263"/>
      <c r="Q141" s="263"/>
      <c r="R141" s="263"/>
      <c r="S141" s="263"/>
      <c r="CM141" s="210"/>
      <c r="CN141" s="213" t="s">
        <v>1397</v>
      </c>
      <c r="CO141" s="213" t="s">
        <v>878</v>
      </c>
      <c r="CP141" s="213" t="s">
        <v>879</v>
      </c>
      <c r="CQ141" s="213" t="s">
        <v>1398</v>
      </c>
      <c r="CR141" s="213" t="s">
        <v>1398</v>
      </c>
      <c r="CS141" s="213" t="s">
        <v>881</v>
      </c>
      <c r="CT141" s="213" t="s">
        <v>882</v>
      </c>
      <c r="CU141" s="213" t="s">
        <v>883</v>
      </c>
      <c r="CV141" s="214" t="s">
        <v>884</v>
      </c>
      <c r="CX141" s="268"/>
    </row>
    <row r="142" spans="1:102" ht="21" customHeight="1">
      <c r="A142" s="263"/>
      <c r="B142" s="275" t="s">
        <v>1399</v>
      </c>
      <c r="C142" s="272" t="s">
        <v>1400</v>
      </c>
      <c r="D142" s="262"/>
      <c r="E142" s="262"/>
      <c r="F142" s="263"/>
      <c r="G142" s="263"/>
      <c r="H142" s="263"/>
      <c r="I142" s="262"/>
      <c r="J142" s="263"/>
      <c r="K142" s="263"/>
      <c r="L142" s="262"/>
      <c r="M142" s="263"/>
      <c r="N142" s="263"/>
      <c r="O142" s="263"/>
      <c r="P142" s="263"/>
      <c r="Q142" s="263"/>
      <c r="R142" s="263"/>
      <c r="S142" s="263"/>
      <c r="CM142" s="210"/>
      <c r="CN142" s="213" t="s">
        <v>1401</v>
      </c>
      <c r="CO142" s="213" t="s">
        <v>878</v>
      </c>
      <c r="CP142" s="213" t="s">
        <v>879</v>
      </c>
      <c r="CQ142" s="213" t="s">
        <v>1402</v>
      </c>
      <c r="CR142" s="213" t="s">
        <v>1402</v>
      </c>
      <c r="CS142" s="213" t="s">
        <v>881</v>
      </c>
      <c r="CT142" s="213" t="s">
        <v>882</v>
      </c>
      <c r="CU142" s="213" t="s">
        <v>883</v>
      </c>
      <c r="CV142" s="214" t="s">
        <v>884</v>
      </c>
      <c r="CX142" s="268"/>
    </row>
    <row r="143" spans="1:102" ht="21" customHeight="1">
      <c r="A143" s="263"/>
      <c r="B143" s="275" t="s">
        <v>1403</v>
      </c>
      <c r="C143" s="272" t="s">
        <v>1404</v>
      </c>
      <c r="D143" s="262"/>
      <c r="E143" s="262"/>
      <c r="F143" s="263"/>
      <c r="G143" s="263"/>
      <c r="H143" s="263"/>
      <c r="I143" s="262"/>
      <c r="J143" s="263"/>
      <c r="K143" s="263"/>
      <c r="L143" s="262"/>
      <c r="M143" s="263"/>
      <c r="N143" s="263"/>
      <c r="O143" s="263"/>
      <c r="P143" s="263"/>
      <c r="Q143" s="263"/>
      <c r="R143" s="263"/>
      <c r="S143" s="263"/>
      <c r="CM143" s="210"/>
      <c r="CN143" s="213" t="s">
        <v>1405</v>
      </c>
      <c r="CO143" s="213" t="s">
        <v>878</v>
      </c>
      <c r="CP143" s="213" t="s">
        <v>879</v>
      </c>
      <c r="CQ143" s="213" t="s">
        <v>1406</v>
      </c>
      <c r="CR143" s="213" t="s">
        <v>1407</v>
      </c>
      <c r="CS143" s="213" t="s">
        <v>881</v>
      </c>
      <c r="CT143" s="213" t="s">
        <v>882</v>
      </c>
      <c r="CU143" s="213" t="s">
        <v>883</v>
      </c>
      <c r="CV143" s="214" t="s">
        <v>884</v>
      </c>
      <c r="CX143" s="268"/>
    </row>
    <row r="144" spans="1:102" ht="21" customHeight="1">
      <c r="A144" s="263"/>
      <c r="B144" s="275" t="s">
        <v>1408</v>
      </c>
      <c r="C144" s="272" t="s">
        <v>1409</v>
      </c>
      <c r="D144" s="262"/>
      <c r="E144" s="262"/>
      <c r="F144" s="263"/>
      <c r="G144" s="263"/>
      <c r="H144" s="263"/>
      <c r="I144" s="262"/>
      <c r="J144" s="263"/>
      <c r="K144" s="263"/>
      <c r="L144" s="262"/>
      <c r="M144" s="263"/>
      <c r="N144" s="263"/>
      <c r="O144" s="263"/>
      <c r="P144" s="263"/>
      <c r="Q144" s="263"/>
      <c r="R144" s="263"/>
      <c r="S144" s="263"/>
      <c r="CM144" s="210"/>
      <c r="CN144" s="213" t="s">
        <v>1410</v>
      </c>
      <c r="CO144" s="213" t="s">
        <v>878</v>
      </c>
      <c r="CP144" s="213" t="s">
        <v>879</v>
      </c>
      <c r="CQ144" s="213" t="s">
        <v>1411</v>
      </c>
      <c r="CR144" s="213" t="s">
        <v>1411</v>
      </c>
      <c r="CS144" s="213" t="s">
        <v>881</v>
      </c>
      <c r="CT144" s="213" t="s">
        <v>882</v>
      </c>
      <c r="CU144" s="213" t="s">
        <v>883</v>
      </c>
      <c r="CV144" s="214" t="s">
        <v>884</v>
      </c>
      <c r="CX144" s="268"/>
    </row>
    <row r="145" spans="1:102" ht="21" customHeight="1">
      <c r="A145" s="263"/>
      <c r="B145" s="275" t="s">
        <v>1412</v>
      </c>
      <c r="C145" s="272" t="s">
        <v>1413</v>
      </c>
      <c r="D145" s="262"/>
      <c r="E145" s="262"/>
      <c r="F145" s="263"/>
      <c r="G145" s="263"/>
      <c r="H145" s="263"/>
      <c r="I145" s="262"/>
      <c r="J145" s="263"/>
      <c r="K145" s="263"/>
      <c r="L145" s="262"/>
      <c r="M145" s="263"/>
      <c r="N145" s="263"/>
      <c r="O145" s="263"/>
      <c r="P145" s="263"/>
      <c r="Q145" s="263"/>
      <c r="R145" s="263"/>
      <c r="S145" s="263"/>
      <c r="CM145" s="210"/>
      <c r="CN145" s="213" t="s">
        <v>1414</v>
      </c>
      <c r="CO145" s="213" t="s">
        <v>878</v>
      </c>
      <c r="CP145" s="213" t="s">
        <v>879</v>
      </c>
      <c r="CQ145" s="213" t="s">
        <v>1415</v>
      </c>
      <c r="CR145" s="213" t="s">
        <v>1415</v>
      </c>
      <c r="CS145" s="213" t="s">
        <v>881</v>
      </c>
      <c r="CT145" s="213" t="s">
        <v>882</v>
      </c>
      <c r="CU145" s="213" t="s">
        <v>883</v>
      </c>
      <c r="CV145" s="214" t="s">
        <v>884</v>
      </c>
      <c r="CX145" s="268"/>
    </row>
    <row r="146" spans="1:102" ht="21" customHeight="1">
      <c r="A146" s="263"/>
      <c r="B146" s="275" t="s">
        <v>1416</v>
      </c>
      <c r="C146" s="272" t="s">
        <v>1417</v>
      </c>
      <c r="D146" s="262"/>
      <c r="E146" s="262"/>
      <c r="F146" s="263"/>
      <c r="G146" s="263"/>
      <c r="H146" s="263"/>
      <c r="I146" s="262"/>
      <c r="J146" s="263"/>
      <c r="K146" s="263"/>
      <c r="L146" s="262"/>
      <c r="M146" s="263"/>
      <c r="N146" s="263"/>
      <c r="O146" s="263"/>
      <c r="P146" s="263"/>
      <c r="Q146" s="263"/>
      <c r="R146" s="263"/>
      <c r="S146" s="263"/>
      <c r="CM146" s="210"/>
      <c r="CN146" s="213" t="s">
        <v>1418</v>
      </c>
      <c r="CO146" s="213" t="s">
        <v>878</v>
      </c>
      <c r="CP146" s="213" t="s">
        <v>879</v>
      </c>
      <c r="CQ146" s="213" t="s">
        <v>1419</v>
      </c>
      <c r="CR146" s="213" t="s">
        <v>1419</v>
      </c>
      <c r="CS146" s="213" t="s">
        <v>881</v>
      </c>
      <c r="CT146" s="213" t="s">
        <v>882</v>
      </c>
      <c r="CU146" s="213" t="s">
        <v>883</v>
      </c>
      <c r="CV146" s="214" t="s">
        <v>884</v>
      </c>
      <c r="CX146" s="268"/>
    </row>
    <row r="147" spans="1:102" ht="21" customHeight="1">
      <c r="A147" s="263"/>
      <c r="B147" s="275" t="s">
        <v>1420</v>
      </c>
      <c r="C147" s="272" t="s">
        <v>1421</v>
      </c>
      <c r="D147" s="262"/>
      <c r="E147" s="262"/>
      <c r="F147" s="263"/>
      <c r="G147" s="263"/>
      <c r="H147" s="263"/>
      <c r="I147" s="262"/>
      <c r="J147" s="263"/>
      <c r="K147" s="263"/>
      <c r="L147" s="262"/>
      <c r="M147" s="263"/>
      <c r="N147" s="263"/>
      <c r="O147" s="263"/>
      <c r="P147" s="263"/>
      <c r="Q147" s="263"/>
      <c r="R147" s="263"/>
      <c r="S147" s="263"/>
      <c r="CM147" s="210"/>
      <c r="CN147" s="213" t="s">
        <v>1422</v>
      </c>
      <c r="CO147" s="213" t="s">
        <v>878</v>
      </c>
      <c r="CP147" s="213" t="s">
        <v>879</v>
      </c>
      <c r="CQ147" s="213" t="s">
        <v>1423</v>
      </c>
      <c r="CR147" s="213" t="s">
        <v>1423</v>
      </c>
      <c r="CS147" s="213" t="s">
        <v>881</v>
      </c>
      <c r="CT147" s="213" t="s">
        <v>882</v>
      </c>
      <c r="CU147" s="213" t="s">
        <v>883</v>
      </c>
      <c r="CV147" s="214" t="s">
        <v>884</v>
      </c>
      <c r="CX147" s="268"/>
    </row>
    <row r="148" spans="1:102" ht="21" customHeight="1">
      <c r="A148" s="263"/>
      <c r="B148" s="275" t="s">
        <v>1424</v>
      </c>
      <c r="C148" s="272" t="s">
        <v>1425</v>
      </c>
      <c r="D148" s="262"/>
      <c r="E148" s="262"/>
      <c r="F148" s="263"/>
      <c r="G148" s="263"/>
      <c r="H148" s="263"/>
      <c r="I148" s="262"/>
      <c r="J148" s="263"/>
      <c r="K148" s="263"/>
      <c r="L148" s="262"/>
      <c r="M148" s="263"/>
      <c r="N148" s="263"/>
      <c r="O148" s="263"/>
      <c r="P148" s="263"/>
      <c r="Q148" s="263"/>
      <c r="R148" s="263"/>
      <c r="S148" s="263"/>
      <c r="CM148" s="210"/>
      <c r="CN148" s="213" t="s">
        <v>1426</v>
      </c>
      <c r="CO148" s="213" t="s">
        <v>878</v>
      </c>
      <c r="CP148" s="213" t="s">
        <v>1290</v>
      </c>
      <c r="CQ148" s="213" t="s">
        <v>1427</v>
      </c>
      <c r="CR148" s="213" t="s">
        <v>1427</v>
      </c>
      <c r="CS148" s="213" t="s">
        <v>881</v>
      </c>
      <c r="CT148" s="213" t="s">
        <v>1296</v>
      </c>
      <c r="CU148" s="213" t="s">
        <v>883</v>
      </c>
      <c r="CV148" s="214" t="s">
        <v>884</v>
      </c>
      <c r="CX148" s="268"/>
    </row>
    <row r="149" spans="1:102" ht="21" customHeight="1">
      <c r="A149" s="263"/>
      <c r="B149" s="275" t="s">
        <v>1428</v>
      </c>
      <c r="C149" s="272" t="s">
        <v>1429</v>
      </c>
      <c r="D149" s="262"/>
      <c r="E149" s="262"/>
      <c r="F149" s="263"/>
      <c r="G149" s="263"/>
      <c r="H149" s="263"/>
      <c r="I149" s="262"/>
      <c r="J149" s="263"/>
      <c r="K149" s="263"/>
      <c r="L149" s="262"/>
      <c r="M149" s="263"/>
      <c r="N149" s="263"/>
      <c r="O149" s="263"/>
      <c r="P149" s="263"/>
      <c r="Q149" s="263"/>
      <c r="R149" s="263"/>
      <c r="S149" s="263"/>
      <c r="CM149" s="210"/>
      <c r="CN149" s="213" t="s">
        <v>1430</v>
      </c>
      <c r="CO149" s="213" t="s">
        <v>878</v>
      </c>
      <c r="CP149" s="213" t="s">
        <v>879</v>
      </c>
      <c r="CQ149" s="213" t="s">
        <v>1431</v>
      </c>
      <c r="CR149" s="213" t="s">
        <v>1431</v>
      </c>
      <c r="CS149" s="213" t="s">
        <v>971</v>
      </c>
      <c r="CT149" s="213" t="s">
        <v>972</v>
      </c>
      <c r="CU149" s="213" t="s">
        <v>883</v>
      </c>
      <c r="CV149" s="214" t="s">
        <v>973</v>
      </c>
      <c r="CX149" s="268"/>
    </row>
    <row r="150" spans="1:102" ht="21" customHeight="1">
      <c r="A150" s="263"/>
      <c r="B150" s="275" t="s">
        <v>1432</v>
      </c>
      <c r="C150" s="272" t="s">
        <v>1433</v>
      </c>
      <c r="D150" s="262"/>
      <c r="E150" s="262"/>
      <c r="F150" s="263"/>
      <c r="G150" s="263"/>
      <c r="H150" s="263"/>
      <c r="I150" s="262"/>
      <c r="J150" s="263"/>
      <c r="K150" s="263"/>
      <c r="L150" s="262"/>
      <c r="M150" s="263"/>
      <c r="N150" s="263"/>
      <c r="O150" s="263"/>
      <c r="P150" s="263"/>
      <c r="Q150" s="263"/>
      <c r="R150" s="263"/>
      <c r="S150" s="263"/>
      <c r="CM150" s="210"/>
      <c r="CN150" s="213" t="s">
        <v>1434</v>
      </c>
      <c r="CO150" s="213" t="s">
        <v>878</v>
      </c>
      <c r="CP150" s="213" t="s">
        <v>879</v>
      </c>
      <c r="CQ150" s="213" t="s">
        <v>1435</v>
      </c>
      <c r="CR150" s="213" t="s">
        <v>1435</v>
      </c>
      <c r="CS150" s="213" t="s">
        <v>881</v>
      </c>
      <c r="CT150" s="213" t="s">
        <v>882</v>
      </c>
      <c r="CU150" s="213" t="s">
        <v>883</v>
      </c>
      <c r="CV150" s="214" t="s">
        <v>884</v>
      </c>
      <c r="CX150" s="268"/>
    </row>
    <row r="151" spans="1:102" ht="21" customHeight="1">
      <c r="A151" s="263"/>
      <c r="B151" s="273"/>
      <c r="C151" s="273"/>
      <c r="D151" s="263"/>
      <c r="E151" s="263"/>
      <c r="F151" s="263"/>
      <c r="G151" s="263"/>
      <c r="H151" s="263"/>
      <c r="I151" s="263"/>
      <c r="J151" s="263"/>
      <c r="K151" s="263"/>
      <c r="L151" s="263"/>
      <c r="M151" s="263"/>
      <c r="N151" s="263"/>
      <c r="O151" s="263"/>
      <c r="P151" s="263"/>
      <c r="Q151" s="263"/>
      <c r="R151" s="263"/>
      <c r="S151" s="263"/>
      <c r="CM151" s="210"/>
      <c r="CN151" s="213" t="s">
        <v>1436</v>
      </c>
      <c r="CO151" s="213" t="s">
        <v>878</v>
      </c>
      <c r="CP151" s="213" t="s">
        <v>879</v>
      </c>
      <c r="CQ151" s="213" t="s">
        <v>1437</v>
      </c>
      <c r="CR151" s="213" t="s">
        <v>1437</v>
      </c>
      <c r="CS151" s="213" t="s">
        <v>881</v>
      </c>
      <c r="CT151" s="213" t="s">
        <v>882</v>
      </c>
      <c r="CU151" s="213" t="s">
        <v>883</v>
      </c>
      <c r="CV151" s="214" t="s">
        <v>884</v>
      </c>
      <c r="CX151" s="268"/>
    </row>
    <row r="152" spans="1:102" ht="21" customHeight="1">
      <c r="A152" s="263"/>
      <c r="B152" s="274"/>
      <c r="C152" s="274" t="s">
        <v>1438</v>
      </c>
      <c r="D152" s="263"/>
      <c r="E152" s="263"/>
      <c r="F152" s="263"/>
      <c r="G152" s="263"/>
      <c r="H152" s="263"/>
      <c r="I152" s="263"/>
      <c r="J152" s="263"/>
      <c r="K152" s="263"/>
      <c r="L152" s="263"/>
      <c r="M152" s="263"/>
      <c r="N152" s="263"/>
      <c r="O152" s="263"/>
      <c r="P152" s="263"/>
      <c r="Q152" s="263"/>
      <c r="R152" s="263"/>
      <c r="S152" s="263"/>
      <c r="CM152" s="210"/>
      <c r="CN152" s="213" t="s">
        <v>1439</v>
      </c>
      <c r="CO152" s="213" t="s">
        <v>878</v>
      </c>
      <c r="CP152" s="213" t="s">
        <v>1290</v>
      </c>
      <c r="CQ152" s="213" t="s">
        <v>1440</v>
      </c>
      <c r="CR152" s="213" t="s">
        <v>1441</v>
      </c>
      <c r="CS152" s="213" t="s">
        <v>881</v>
      </c>
      <c r="CT152" s="213" t="s">
        <v>1296</v>
      </c>
      <c r="CU152" s="213" t="s">
        <v>883</v>
      </c>
      <c r="CV152" s="214" t="s">
        <v>884</v>
      </c>
      <c r="CX152" s="268"/>
    </row>
    <row r="153" spans="1:102" ht="21" customHeight="1">
      <c r="A153" s="263"/>
      <c r="B153" s="275" t="s">
        <v>1378</v>
      </c>
      <c r="C153" s="272" t="s">
        <v>1442</v>
      </c>
      <c r="D153" s="263"/>
      <c r="E153" s="263"/>
      <c r="F153" s="263"/>
      <c r="G153" s="263"/>
      <c r="H153" s="263"/>
      <c r="I153" s="263"/>
      <c r="J153" s="263"/>
      <c r="K153" s="263"/>
      <c r="L153" s="263"/>
      <c r="M153" s="263"/>
      <c r="N153" s="263"/>
      <c r="O153" s="263"/>
      <c r="P153" s="263"/>
      <c r="Q153" s="263"/>
      <c r="R153" s="263"/>
      <c r="S153" s="263"/>
      <c r="CM153" s="210"/>
      <c r="CN153" s="213" t="s">
        <v>1443</v>
      </c>
      <c r="CO153" s="213" t="s">
        <v>878</v>
      </c>
      <c r="CP153" s="213" t="s">
        <v>1290</v>
      </c>
      <c r="CQ153" s="213" t="s">
        <v>1444</v>
      </c>
      <c r="CR153" s="213" t="s">
        <v>1444</v>
      </c>
      <c r="CS153" s="213" t="s">
        <v>881</v>
      </c>
      <c r="CT153" s="213" t="s">
        <v>1296</v>
      </c>
      <c r="CU153" s="213" t="s">
        <v>883</v>
      </c>
      <c r="CV153" s="214" t="s">
        <v>884</v>
      </c>
      <c r="CX153" s="268"/>
    </row>
    <row r="154" spans="1:102" ht="21" customHeight="1">
      <c r="A154" s="263"/>
      <c r="B154" s="275" t="s">
        <v>1382</v>
      </c>
      <c r="C154" s="272" t="s">
        <v>1445</v>
      </c>
      <c r="D154" s="263"/>
      <c r="E154" s="263"/>
      <c r="F154" s="263"/>
      <c r="G154" s="263"/>
      <c r="H154" s="263"/>
      <c r="I154" s="263"/>
      <c r="J154" s="263"/>
      <c r="K154" s="263"/>
      <c r="L154" s="263"/>
      <c r="M154" s="263"/>
      <c r="N154" s="263"/>
      <c r="O154" s="263"/>
      <c r="P154" s="263"/>
      <c r="Q154" s="263"/>
      <c r="R154" s="263"/>
      <c r="S154" s="263"/>
      <c r="CM154" s="210"/>
      <c r="CN154" s="213" t="s">
        <v>1446</v>
      </c>
      <c r="CO154" s="213" t="s">
        <v>878</v>
      </c>
      <c r="CP154" s="213" t="s">
        <v>1290</v>
      </c>
      <c r="CQ154" s="213" t="s">
        <v>1447</v>
      </c>
      <c r="CR154" s="213" t="s">
        <v>1447</v>
      </c>
      <c r="CS154" s="213" t="s">
        <v>971</v>
      </c>
      <c r="CT154" s="213" t="s">
        <v>1292</v>
      </c>
      <c r="CU154" s="213" t="s">
        <v>883</v>
      </c>
      <c r="CV154" s="214" t="s">
        <v>973</v>
      </c>
      <c r="CX154" s="268"/>
    </row>
    <row r="155" spans="1:102" ht="21" customHeight="1">
      <c r="A155" s="263"/>
      <c r="B155" s="275" t="s">
        <v>1387</v>
      </c>
      <c r="C155" s="272" t="s">
        <v>1448</v>
      </c>
      <c r="D155" s="263"/>
      <c r="E155" s="263"/>
      <c r="F155" s="263"/>
      <c r="G155" s="263"/>
      <c r="H155" s="263"/>
      <c r="I155" s="263"/>
      <c r="J155" s="263"/>
      <c r="K155" s="263"/>
      <c r="L155" s="263"/>
      <c r="M155" s="263"/>
      <c r="N155" s="263"/>
      <c r="O155" s="263"/>
      <c r="P155" s="263"/>
      <c r="Q155" s="263"/>
      <c r="R155" s="263"/>
      <c r="S155" s="263"/>
      <c r="CM155" s="210"/>
      <c r="CN155" s="213" t="s">
        <v>1449</v>
      </c>
      <c r="CO155" s="213" t="s">
        <v>878</v>
      </c>
      <c r="CP155" s="213" t="s">
        <v>1290</v>
      </c>
      <c r="CQ155" s="213" t="s">
        <v>1450</v>
      </c>
      <c r="CR155" s="213" t="s">
        <v>1450</v>
      </c>
      <c r="CS155" s="213" t="s">
        <v>971</v>
      </c>
      <c r="CT155" s="213" t="s">
        <v>1292</v>
      </c>
      <c r="CU155" s="213" t="s">
        <v>883</v>
      </c>
      <c r="CV155" s="214" t="s">
        <v>973</v>
      </c>
      <c r="CX155" s="268"/>
    </row>
    <row r="156" spans="1:102" ht="21" customHeight="1">
      <c r="A156" s="263"/>
      <c r="B156" s="275" t="s">
        <v>1391</v>
      </c>
      <c r="C156" s="272" t="s">
        <v>1451</v>
      </c>
      <c r="D156" s="263"/>
      <c r="E156" s="263"/>
      <c r="F156" s="263"/>
      <c r="G156" s="263"/>
      <c r="H156" s="263"/>
      <c r="I156" s="263"/>
      <c r="J156" s="263"/>
      <c r="K156" s="263"/>
      <c r="L156" s="263"/>
      <c r="M156" s="263"/>
      <c r="N156" s="263"/>
      <c r="O156" s="263"/>
      <c r="P156" s="263"/>
      <c r="Q156" s="263"/>
      <c r="R156" s="263"/>
      <c r="S156" s="263"/>
      <c r="CM156" s="210"/>
      <c r="CN156" s="213" t="s">
        <v>1452</v>
      </c>
      <c r="CO156" s="213" t="s">
        <v>878</v>
      </c>
      <c r="CP156" s="213" t="s">
        <v>1290</v>
      </c>
      <c r="CQ156" s="213" t="s">
        <v>1453</v>
      </c>
      <c r="CR156" s="213" t="s">
        <v>1453</v>
      </c>
      <c r="CS156" s="213" t="s">
        <v>881</v>
      </c>
      <c r="CT156" s="213" t="s">
        <v>1296</v>
      </c>
      <c r="CU156" s="213" t="s">
        <v>883</v>
      </c>
      <c r="CV156" s="214" t="s">
        <v>884</v>
      </c>
      <c r="CX156" s="268"/>
    </row>
    <row r="157" spans="1:102" ht="21" customHeight="1">
      <c r="A157" s="263"/>
      <c r="B157" s="275" t="s">
        <v>1395</v>
      </c>
      <c r="C157" s="272" t="s">
        <v>1454</v>
      </c>
      <c r="D157" s="263"/>
      <c r="E157" s="263"/>
      <c r="F157" s="263"/>
      <c r="G157" s="263"/>
      <c r="H157" s="263"/>
      <c r="I157" s="263"/>
      <c r="J157" s="263"/>
      <c r="K157" s="263"/>
      <c r="L157" s="263"/>
      <c r="M157" s="263"/>
      <c r="N157" s="263"/>
      <c r="O157" s="263"/>
      <c r="P157" s="263"/>
      <c r="Q157" s="263"/>
      <c r="R157" s="263"/>
      <c r="S157" s="263"/>
      <c r="CM157" s="210"/>
      <c r="CN157" s="213" t="s">
        <v>1455</v>
      </c>
      <c r="CO157" s="213" t="s">
        <v>878</v>
      </c>
      <c r="CP157" s="213" t="s">
        <v>1290</v>
      </c>
      <c r="CQ157" s="213" t="s">
        <v>1456</v>
      </c>
      <c r="CR157" s="213" t="s">
        <v>1456</v>
      </c>
      <c r="CS157" s="213" t="s">
        <v>881</v>
      </c>
      <c r="CT157" s="213" t="s">
        <v>1296</v>
      </c>
      <c r="CU157" s="213" t="s">
        <v>883</v>
      </c>
      <c r="CV157" s="214" t="s">
        <v>884</v>
      </c>
      <c r="CX157" s="268"/>
    </row>
    <row r="158" spans="1:102" ht="21" customHeight="1">
      <c r="A158" s="263"/>
      <c r="B158" s="275" t="s">
        <v>1399</v>
      </c>
      <c r="C158" s="272" t="s">
        <v>1457</v>
      </c>
      <c r="D158" s="263"/>
      <c r="E158" s="263"/>
      <c r="F158" s="263"/>
      <c r="G158" s="263"/>
      <c r="H158" s="263"/>
      <c r="I158" s="263"/>
      <c r="J158" s="263"/>
      <c r="K158" s="263"/>
      <c r="L158" s="263"/>
      <c r="M158" s="263"/>
      <c r="N158" s="263"/>
      <c r="O158" s="263"/>
      <c r="P158" s="263"/>
      <c r="Q158" s="263"/>
      <c r="R158" s="263"/>
      <c r="S158" s="263"/>
      <c r="CM158" s="210"/>
      <c r="CN158" s="213" t="s">
        <v>1458</v>
      </c>
      <c r="CO158" s="213" t="s">
        <v>878</v>
      </c>
      <c r="CP158" s="213" t="s">
        <v>1290</v>
      </c>
      <c r="CQ158" s="213" t="s">
        <v>1459</v>
      </c>
      <c r="CR158" s="213" t="s">
        <v>1460</v>
      </c>
      <c r="CS158" s="213" t="s">
        <v>881</v>
      </c>
      <c r="CT158" s="213" t="s">
        <v>1296</v>
      </c>
      <c r="CU158" s="213" t="s">
        <v>883</v>
      </c>
      <c r="CV158" s="214" t="s">
        <v>884</v>
      </c>
      <c r="CX158" s="268"/>
    </row>
    <row r="159" spans="1:102" ht="21" customHeight="1">
      <c r="A159" s="263"/>
      <c r="B159" s="275" t="s">
        <v>1403</v>
      </c>
      <c r="C159" s="272" t="s">
        <v>1461</v>
      </c>
      <c r="D159" s="263"/>
      <c r="E159" s="263"/>
      <c r="F159" s="263"/>
      <c r="G159" s="263"/>
      <c r="H159" s="263"/>
      <c r="I159" s="263"/>
      <c r="J159" s="263"/>
      <c r="K159" s="263"/>
      <c r="L159" s="263"/>
      <c r="M159" s="263"/>
      <c r="N159" s="263"/>
      <c r="O159" s="263"/>
      <c r="P159" s="263"/>
      <c r="Q159" s="263"/>
      <c r="R159" s="263"/>
      <c r="S159" s="263"/>
      <c r="CM159" s="210"/>
      <c r="CN159" s="213" t="s">
        <v>1462</v>
      </c>
      <c r="CO159" s="213" t="s">
        <v>878</v>
      </c>
      <c r="CP159" s="213" t="s">
        <v>1290</v>
      </c>
      <c r="CQ159" s="213" t="s">
        <v>1463</v>
      </c>
      <c r="CR159" s="213" t="s">
        <v>1463</v>
      </c>
      <c r="CS159" s="213" t="s">
        <v>881</v>
      </c>
      <c r="CT159" s="213" t="s">
        <v>1296</v>
      </c>
      <c r="CU159" s="213" t="s">
        <v>883</v>
      </c>
      <c r="CV159" s="214" t="s">
        <v>884</v>
      </c>
      <c r="CX159" s="268"/>
    </row>
    <row r="160" spans="1:102" ht="21" customHeight="1">
      <c r="A160" s="263"/>
      <c r="B160" s="275" t="s">
        <v>1408</v>
      </c>
      <c r="C160" s="272" t="s">
        <v>1464</v>
      </c>
      <c r="D160" s="263"/>
      <c r="E160" s="263"/>
      <c r="F160" s="263"/>
      <c r="G160" s="263"/>
      <c r="H160" s="263"/>
      <c r="I160" s="263"/>
      <c r="J160" s="263"/>
      <c r="K160" s="263"/>
      <c r="L160" s="263"/>
      <c r="M160" s="263"/>
      <c r="N160" s="263"/>
      <c r="O160" s="263"/>
      <c r="P160" s="263"/>
      <c r="Q160" s="263"/>
      <c r="R160" s="263"/>
      <c r="S160" s="263"/>
      <c r="CM160" s="210"/>
      <c r="CN160" s="213" t="s">
        <v>1465</v>
      </c>
      <c r="CO160" s="213" t="s">
        <v>878</v>
      </c>
      <c r="CP160" s="213" t="s">
        <v>1290</v>
      </c>
      <c r="CQ160" s="213" t="s">
        <v>1466</v>
      </c>
      <c r="CR160" s="213" t="s">
        <v>1466</v>
      </c>
      <c r="CS160" s="213" t="s">
        <v>881</v>
      </c>
      <c r="CT160" s="213" t="s">
        <v>1296</v>
      </c>
      <c r="CU160" s="213" t="s">
        <v>883</v>
      </c>
      <c r="CV160" s="214" t="s">
        <v>884</v>
      </c>
      <c r="CX160" s="268"/>
    </row>
    <row r="161" spans="1:102" ht="21" customHeight="1">
      <c r="A161" s="263"/>
      <c r="B161" s="275" t="s">
        <v>1412</v>
      </c>
      <c r="C161" s="272" t="s">
        <v>1467</v>
      </c>
      <c r="D161" s="263"/>
      <c r="E161" s="263"/>
      <c r="F161" s="263"/>
      <c r="G161" s="263"/>
      <c r="H161" s="263"/>
      <c r="I161" s="263"/>
      <c r="J161" s="263"/>
      <c r="K161" s="263"/>
      <c r="L161" s="263"/>
      <c r="M161" s="263"/>
      <c r="N161" s="263"/>
      <c r="O161" s="263"/>
      <c r="P161" s="263"/>
      <c r="Q161" s="263"/>
      <c r="R161" s="263"/>
      <c r="S161" s="263"/>
      <c r="CM161" s="210"/>
      <c r="CN161" s="213" t="s">
        <v>1468</v>
      </c>
      <c r="CO161" s="213" t="s">
        <v>878</v>
      </c>
      <c r="CP161" s="213" t="s">
        <v>1290</v>
      </c>
      <c r="CQ161" s="213" t="s">
        <v>1469</v>
      </c>
      <c r="CR161" s="213" t="s">
        <v>1469</v>
      </c>
      <c r="CS161" s="213" t="s">
        <v>881</v>
      </c>
      <c r="CT161" s="213" t="s">
        <v>1296</v>
      </c>
      <c r="CU161" s="213" t="s">
        <v>883</v>
      </c>
      <c r="CV161" s="214" t="s">
        <v>884</v>
      </c>
      <c r="CX161" s="268"/>
    </row>
    <row r="162" spans="1:102" ht="21" customHeight="1">
      <c r="A162" s="263"/>
      <c r="B162" s="275" t="s">
        <v>1416</v>
      </c>
      <c r="C162" s="272" t="s">
        <v>1470</v>
      </c>
      <c r="D162" s="263"/>
      <c r="E162" s="263"/>
      <c r="F162" s="263"/>
      <c r="G162" s="263"/>
      <c r="H162" s="263"/>
      <c r="I162" s="263"/>
      <c r="J162" s="263"/>
      <c r="K162" s="263"/>
      <c r="L162" s="263"/>
      <c r="M162" s="263"/>
      <c r="N162" s="263"/>
      <c r="O162" s="263"/>
      <c r="P162" s="263"/>
      <c r="Q162" s="263"/>
      <c r="R162" s="263"/>
      <c r="S162" s="263"/>
      <c r="CM162" s="210"/>
      <c r="CN162" s="213" t="s">
        <v>1471</v>
      </c>
      <c r="CO162" s="213" t="s">
        <v>878</v>
      </c>
      <c r="CP162" s="213" t="s">
        <v>1290</v>
      </c>
      <c r="CQ162" s="213" t="s">
        <v>1472</v>
      </c>
      <c r="CR162" s="213" t="s">
        <v>1472</v>
      </c>
      <c r="CS162" s="213" t="s">
        <v>881</v>
      </c>
      <c r="CT162" s="213" t="s">
        <v>1296</v>
      </c>
      <c r="CU162" s="213" t="s">
        <v>883</v>
      </c>
      <c r="CV162" s="214" t="s">
        <v>884</v>
      </c>
      <c r="CX162" s="268"/>
    </row>
    <row r="163" spans="1:102" ht="21" customHeight="1">
      <c r="A163" s="263"/>
      <c r="B163" s="275" t="s">
        <v>1420</v>
      </c>
      <c r="C163" s="272" t="s">
        <v>1473</v>
      </c>
      <c r="D163" s="263"/>
      <c r="E163" s="263"/>
      <c r="F163" s="263"/>
      <c r="G163" s="263"/>
      <c r="H163" s="263"/>
      <c r="I163" s="263"/>
      <c r="J163" s="263"/>
      <c r="K163" s="263"/>
      <c r="L163" s="263"/>
      <c r="M163" s="263"/>
      <c r="N163" s="263"/>
      <c r="O163" s="263"/>
      <c r="P163" s="263"/>
      <c r="Q163" s="263"/>
      <c r="R163" s="263"/>
      <c r="S163" s="263"/>
      <c r="CM163" s="210"/>
      <c r="CN163" s="213" t="s">
        <v>1474</v>
      </c>
      <c r="CO163" s="213" t="s">
        <v>878</v>
      </c>
      <c r="CP163" s="213" t="s">
        <v>1290</v>
      </c>
      <c r="CQ163" s="213" t="s">
        <v>1475</v>
      </c>
      <c r="CR163" s="213" t="s">
        <v>1475</v>
      </c>
      <c r="CS163" s="213" t="s">
        <v>881</v>
      </c>
      <c r="CT163" s="213" t="s">
        <v>1296</v>
      </c>
      <c r="CU163" s="213" t="s">
        <v>883</v>
      </c>
      <c r="CV163" s="214" t="s">
        <v>884</v>
      </c>
      <c r="CX163" s="268"/>
    </row>
    <row r="164" spans="1:102" ht="21" customHeight="1">
      <c r="A164" s="263"/>
      <c r="B164" s="275" t="s">
        <v>1424</v>
      </c>
      <c r="C164" s="272" t="s">
        <v>1476</v>
      </c>
      <c r="D164" s="263"/>
      <c r="E164" s="263"/>
      <c r="F164" s="263"/>
      <c r="G164" s="263"/>
      <c r="H164" s="263"/>
      <c r="I164" s="263"/>
      <c r="J164" s="263"/>
      <c r="K164" s="263"/>
      <c r="L164" s="263"/>
      <c r="M164" s="263"/>
      <c r="N164" s="263"/>
      <c r="O164" s="263"/>
      <c r="P164" s="263"/>
      <c r="Q164" s="263"/>
      <c r="R164" s="263"/>
      <c r="S164" s="263"/>
      <c r="CM164" s="210"/>
      <c r="CN164" s="213" t="s">
        <v>1477</v>
      </c>
      <c r="CO164" s="213" t="s">
        <v>878</v>
      </c>
      <c r="CP164" s="213" t="s">
        <v>1290</v>
      </c>
      <c r="CQ164" s="213" t="s">
        <v>1478</v>
      </c>
      <c r="CR164" s="213" t="s">
        <v>1478</v>
      </c>
      <c r="CS164" s="213" t="s">
        <v>881</v>
      </c>
      <c r="CT164" s="213" t="s">
        <v>1296</v>
      </c>
      <c r="CU164" s="213" t="s">
        <v>883</v>
      </c>
      <c r="CV164" s="214" t="s">
        <v>884</v>
      </c>
      <c r="CX164" s="268"/>
    </row>
    <row r="165" spans="1:102" ht="21" customHeight="1">
      <c r="A165" s="263"/>
      <c r="B165" s="275" t="s">
        <v>1428</v>
      </c>
      <c r="C165" s="272" t="s">
        <v>1479</v>
      </c>
      <c r="D165" s="263"/>
      <c r="E165" s="263"/>
      <c r="F165" s="263"/>
      <c r="G165" s="263"/>
      <c r="H165" s="263"/>
      <c r="I165" s="263"/>
      <c r="J165" s="263"/>
      <c r="K165" s="263"/>
      <c r="L165" s="263"/>
      <c r="M165" s="263"/>
      <c r="N165" s="263"/>
      <c r="O165" s="263"/>
      <c r="P165" s="263"/>
      <c r="Q165" s="263"/>
      <c r="R165" s="263"/>
      <c r="S165" s="263"/>
      <c r="CM165" s="210"/>
      <c r="CN165" s="213" t="s">
        <v>1480</v>
      </c>
      <c r="CO165" s="213" t="s">
        <v>878</v>
      </c>
      <c r="CP165" s="213" t="s">
        <v>1290</v>
      </c>
      <c r="CQ165" s="213" t="s">
        <v>675</v>
      </c>
      <c r="CR165" s="213" t="s">
        <v>675</v>
      </c>
      <c r="CS165" s="213" t="s">
        <v>881</v>
      </c>
      <c r="CT165" s="213" t="s">
        <v>1296</v>
      </c>
      <c r="CU165" s="213" t="s">
        <v>883</v>
      </c>
      <c r="CV165" s="214" t="s">
        <v>884</v>
      </c>
      <c r="CX165" s="268"/>
    </row>
    <row r="166" spans="1:102" ht="21" customHeight="1">
      <c r="A166" s="263"/>
      <c r="B166" s="275" t="s">
        <v>1432</v>
      </c>
      <c r="C166" s="272" t="s">
        <v>1481</v>
      </c>
      <c r="D166" s="263"/>
      <c r="E166" s="263"/>
      <c r="F166" s="263"/>
      <c r="G166" s="263"/>
      <c r="H166" s="263"/>
      <c r="I166" s="263"/>
      <c r="J166" s="263"/>
      <c r="K166" s="263"/>
      <c r="L166" s="263"/>
      <c r="M166" s="263"/>
      <c r="N166" s="263"/>
      <c r="O166" s="263"/>
      <c r="P166" s="263"/>
      <c r="Q166" s="263"/>
      <c r="R166" s="263"/>
      <c r="S166" s="263"/>
      <c r="CM166" s="210"/>
      <c r="CN166" s="213" t="s">
        <v>1482</v>
      </c>
      <c r="CO166" s="213" t="s">
        <v>878</v>
      </c>
      <c r="CP166" s="213" t="s">
        <v>1290</v>
      </c>
      <c r="CQ166" s="213" t="s">
        <v>1483</v>
      </c>
      <c r="CR166" s="213" t="s">
        <v>1483</v>
      </c>
      <c r="CS166" s="213" t="s">
        <v>881</v>
      </c>
      <c r="CT166" s="213" t="s">
        <v>1296</v>
      </c>
      <c r="CU166" s="213" t="s">
        <v>883</v>
      </c>
      <c r="CV166" s="214" t="s">
        <v>884</v>
      </c>
      <c r="CX166" s="268"/>
    </row>
    <row r="167" spans="1:102" ht="21" customHeight="1">
      <c r="A167" s="263"/>
      <c r="B167" s="273"/>
      <c r="C167" s="273"/>
      <c r="D167" s="263"/>
      <c r="E167" s="263"/>
      <c r="F167" s="263"/>
      <c r="G167" s="263"/>
      <c r="H167" s="263"/>
      <c r="I167" s="263"/>
      <c r="J167" s="263"/>
      <c r="K167" s="263"/>
      <c r="L167" s="263"/>
      <c r="M167" s="263"/>
      <c r="N167" s="263"/>
      <c r="O167" s="263"/>
      <c r="P167" s="263"/>
      <c r="Q167" s="263"/>
      <c r="R167" s="263"/>
      <c r="S167" s="263"/>
      <c r="CM167" s="210"/>
      <c r="CN167" s="213" t="s">
        <v>1484</v>
      </c>
      <c r="CO167" s="213" t="s">
        <v>878</v>
      </c>
      <c r="CP167" s="213" t="s">
        <v>1290</v>
      </c>
      <c r="CQ167" s="213" t="s">
        <v>1485</v>
      </c>
      <c r="CR167" s="213" t="s">
        <v>1485</v>
      </c>
      <c r="CS167" s="213" t="s">
        <v>971</v>
      </c>
      <c r="CT167" s="213" t="s">
        <v>1292</v>
      </c>
      <c r="CU167" s="213" t="s">
        <v>883</v>
      </c>
      <c r="CV167" s="214" t="s">
        <v>973</v>
      </c>
      <c r="CX167" s="268"/>
    </row>
    <row r="168" spans="1:102" ht="21" customHeight="1">
      <c r="A168" s="263"/>
      <c r="B168" s="276"/>
      <c r="C168" s="276" t="s">
        <v>1486</v>
      </c>
      <c r="D168" s="263"/>
      <c r="E168" s="263"/>
      <c r="F168" s="263"/>
      <c r="G168" s="263"/>
      <c r="H168" s="263"/>
      <c r="I168" s="263"/>
      <c r="J168" s="263"/>
      <c r="K168" s="263"/>
      <c r="L168" s="263"/>
      <c r="M168" s="263"/>
      <c r="N168" s="263"/>
      <c r="O168" s="263"/>
      <c r="P168" s="263"/>
      <c r="Q168" s="263"/>
      <c r="R168" s="263"/>
      <c r="S168" s="263"/>
      <c r="CM168" s="210"/>
      <c r="CN168" s="213" t="s">
        <v>1487</v>
      </c>
      <c r="CO168" s="213" t="s">
        <v>878</v>
      </c>
      <c r="CP168" s="213" t="s">
        <v>1290</v>
      </c>
      <c r="CQ168" s="213" t="s">
        <v>1488</v>
      </c>
      <c r="CR168" s="213" t="s">
        <v>1489</v>
      </c>
      <c r="CS168" s="213" t="s">
        <v>971</v>
      </c>
      <c r="CT168" s="213" t="s">
        <v>1292</v>
      </c>
      <c r="CU168" s="213" t="s">
        <v>883</v>
      </c>
      <c r="CV168" s="214" t="s">
        <v>973</v>
      </c>
      <c r="CX168" s="268"/>
    </row>
    <row r="169" spans="1:102" ht="21" customHeight="1">
      <c r="A169" s="263"/>
      <c r="B169" s="277" t="s">
        <v>1378</v>
      </c>
      <c r="C169" s="272" t="s">
        <v>1490</v>
      </c>
      <c r="D169" s="263"/>
      <c r="E169" s="263"/>
      <c r="F169" s="263"/>
      <c r="G169" s="263"/>
      <c r="H169" s="263"/>
      <c r="I169" s="263"/>
      <c r="J169" s="263"/>
      <c r="K169" s="263"/>
      <c r="L169" s="263"/>
      <c r="M169" s="263"/>
      <c r="N169" s="263"/>
      <c r="O169" s="263"/>
      <c r="P169" s="263"/>
      <c r="Q169" s="263"/>
      <c r="R169" s="263"/>
      <c r="S169" s="263"/>
      <c r="CM169" s="210"/>
      <c r="CN169" s="213" t="s">
        <v>1491</v>
      </c>
      <c r="CO169" s="213" t="s">
        <v>878</v>
      </c>
      <c r="CP169" s="213" t="s">
        <v>1290</v>
      </c>
      <c r="CQ169" s="213" t="s">
        <v>1492</v>
      </c>
      <c r="CR169" s="213" t="s">
        <v>1493</v>
      </c>
      <c r="CS169" s="213" t="s">
        <v>971</v>
      </c>
      <c r="CT169" s="213" t="s">
        <v>1292</v>
      </c>
      <c r="CU169" s="213" t="s">
        <v>883</v>
      </c>
      <c r="CV169" s="214" t="s">
        <v>973</v>
      </c>
      <c r="CX169" s="268"/>
    </row>
    <row r="170" spans="1:102" ht="21" customHeight="1">
      <c r="A170" s="263"/>
      <c r="B170" s="275" t="s">
        <v>1382</v>
      </c>
      <c r="C170" s="272" t="s">
        <v>1494</v>
      </c>
      <c r="D170" s="263"/>
      <c r="E170" s="263"/>
      <c r="F170" s="263"/>
      <c r="G170" s="263"/>
      <c r="H170" s="263"/>
      <c r="I170" s="263"/>
      <c r="J170" s="263"/>
      <c r="K170" s="263"/>
      <c r="L170" s="263"/>
      <c r="M170" s="263"/>
      <c r="N170" s="263"/>
      <c r="O170" s="263"/>
      <c r="P170" s="263"/>
      <c r="Q170" s="263"/>
      <c r="R170" s="263"/>
      <c r="S170" s="263"/>
      <c r="CM170" s="210"/>
      <c r="CN170" s="213" t="s">
        <v>1495</v>
      </c>
      <c r="CO170" s="213" t="s">
        <v>878</v>
      </c>
      <c r="CP170" s="213" t="s">
        <v>1290</v>
      </c>
      <c r="CQ170" s="213" t="s">
        <v>1496</v>
      </c>
      <c r="CR170" s="213" t="s">
        <v>1497</v>
      </c>
      <c r="CS170" s="213" t="s">
        <v>971</v>
      </c>
      <c r="CT170" s="213" t="s">
        <v>1292</v>
      </c>
      <c r="CU170" s="213" t="s">
        <v>883</v>
      </c>
      <c r="CV170" s="214" t="s">
        <v>973</v>
      </c>
      <c r="CX170" s="268"/>
    </row>
    <row r="171" spans="1:102" ht="21" customHeight="1">
      <c r="A171" s="263"/>
      <c r="B171" s="275" t="s">
        <v>1387</v>
      </c>
      <c r="C171" s="272" t="s">
        <v>1498</v>
      </c>
      <c r="D171" s="263"/>
      <c r="E171" s="263"/>
      <c r="F171" s="263"/>
      <c r="G171" s="263"/>
      <c r="H171" s="263"/>
      <c r="I171" s="263"/>
      <c r="J171" s="263"/>
      <c r="K171" s="263"/>
      <c r="L171" s="263"/>
      <c r="M171" s="263"/>
      <c r="N171" s="263"/>
      <c r="O171" s="263"/>
      <c r="P171" s="263"/>
      <c r="Q171" s="263"/>
      <c r="R171" s="263"/>
      <c r="S171" s="263"/>
      <c r="CM171" s="210"/>
      <c r="CN171" s="213" t="s">
        <v>1499</v>
      </c>
      <c r="CO171" s="213" t="s">
        <v>878</v>
      </c>
      <c r="CP171" s="213" t="s">
        <v>1290</v>
      </c>
      <c r="CQ171" s="213" t="s">
        <v>1500</v>
      </c>
      <c r="CR171" s="213" t="s">
        <v>1501</v>
      </c>
      <c r="CS171" s="213" t="s">
        <v>971</v>
      </c>
      <c r="CT171" s="213" t="s">
        <v>1292</v>
      </c>
      <c r="CU171" s="213" t="s">
        <v>883</v>
      </c>
      <c r="CV171" s="214" t="s">
        <v>973</v>
      </c>
      <c r="CX171" s="268"/>
    </row>
    <row r="172" spans="1:102" ht="21" customHeight="1">
      <c r="A172" s="263"/>
      <c r="B172" s="275" t="s">
        <v>1391</v>
      </c>
      <c r="C172" s="272" t="s">
        <v>1502</v>
      </c>
      <c r="D172" s="263"/>
      <c r="E172" s="263"/>
      <c r="F172" s="263"/>
      <c r="G172" s="263"/>
      <c r="H172" s="263"/>
      <c r="I172" s="263"/>
      <c r="J172" s="263"/>
      <c r="K172" s="263"/>
      <c r="L172" s="263"/>
      <c r="M172" s="263"/>
      <c r="N172" s="263"/>
      <c r="O172" s="263"/>
      <c r="P172" s="263"/>
      <c r="Q172" s="263"/>
      <c r="R172" s="263"/>
      <c r="S172" s="263"/>
      <c r="CM172" s="210"/>
      <c r="CN172" s="213" t="s">
        <v>1503</v>
      </c>
      <c r="CO172" s="213" t="s">
        <v>878</v>
      </c>
      <c r="CP172" s="213" t="s">
        <v>1290</v>
      </c>
      <c r="CQ172" s="213" t="s">
        <v>1504</v>
      </c>
      <c r="CR172" s="213" t="s">
        <v>1505</v>
      </c>
      <c r="CS172" s="213" t="s">
        <v>971</v>
      </c>
      <c r="CT172" s="213" t="s">
        <v>1292</v>
      </c>
      <c r="CU172" s="213" t="s">
        <v>883</v>
      </c>
      <c r="CV172" s="214" t="s">
        <v>973</v>
      </c>
      <c r="CX172" s="268"/>
    </row>
    <row r="173" spans="1:102" ht="21" customHeight="1">
      <c r="A173" s="263"/>
      <c r="B173" s="275" t="s">
        <v>1395</v>
      </c>
      <c r="C173" s="272" t="s">
        <v>1506</v>
      </c>
      <c r="D173" s="263"/>
      <c r="E173" s="263"/>
      <c r="F173" s="263"/>
      <c r="G173" s="263"/>
      <c r="H173" s="263"/>
      <c r="I173" s="263"/>
      <c r="J173" s="263"/>
      <c r="K173" s="263"/>
      <c r="L173" s="263"/>
      <c r="M173" s="263"/>
      <c r="N173" s="263"/>
      <c r="O173" s="263"/>
      <c r="P173" s="263"/>
      <c r="Q173" s="263"/>
      <c r="R173" s="263"/>
      <c r="S173" s="263"/>
      <c r="CM173" s="210"/>
      <c r="CN173" s="213" t="s">
        <v>1507</v>
      </c>
      <c r="CO173" s="213" t="s">
        <v>878</v>
      </c>
      <c r="CP173" s="213" t="s">
        <v>1290</v>
      </c>
      <c r="CQ173" s="213" t="s">
        <v>1508</v>
      </c>
      <c r="CR173" s="213" t="s">
        <v>1509</v>
      </c>
      <c r="CS173" s="213" t="s">
        <v>971</v>
      </c>
      <c r="CT173" s="213" t="s">
        <v>1292</v>
      </c>
      <c r="CU173" s="213" t="s">
        <v>883</v>
      </c>
      <c r="CV173" s="214" t="s">
        <v>973</v>
      </c>
      <c r="CX173" s="268"/>
    </row>
    <row r="174" spans="1:102" ht="21" customHeight="1">
      <c r="A174" s="263"/>
      <c r="B174" s="275" t="s">
        <v>1399</v>
      </c>
      <c r="C174" s="272" t="s">
        <v>1510</v>
      </c>
      <c r="D174" s="263"/>
      <c r="E174" s="263"/>
      <c r="F174" s="263"/>
      <c r="G174" s="263"/>
      <c r="H174" s="263"/>
      <c r="I174" s="263"/>
      <c r="J174" s="263"/>
      <c r="K174" s="263"/>
      <c r="L174" s="263"/>
      <c r="M174" s="263"/>
      <c r="N174" s="263"/>
      <c r="O174" s="263"/>
      <c r="P174" s="263"/>
      <c r="Q174" s="263"/>
      <c r="R174" s="263"/>
      <c r="S174" s="263"/>
      <c r="CM174" s="210"/>
      <c r="CN174" s="213" t="s">
        <v>1511</v>
      </c>
      <c r="CO174" s="213" t="s">
        <v>878</v>
      </c>
      <c r="CP174" s="213" t="s">
        <v>1290</v>
      </c>
      <c r="CQ174" s="213" t="s">
        <v>1512</v>
      </c>
      <c r="CR174" s="213" t="s">
        <v>1513</v>
      </c>
      <c r="CS174" s="213" t="s">
        <v>971</v>
      </c>
      <c r="CT174" s="213" t="s">
        <v>1292</v>
      </c>
      <c r="CU174" s="213" t="s">
        <v>883</v>
      </c>
      <c r="CV174" s="214" t="s">
        <v>973</v>
      </c>
      <c r="CX174" s="268"/>
    </row>
    <row r="175" spans="1:102" ht="21" customHeight="1">
      <c r="A175" s="263"/>
      <c r="B175" s="275" t="s">
        <v>1403</v>
      </c>
      <c r="C175" s="272" t="s">
        <v>1514</v>
      </c>
      <c r="D175" s="263"/>
      <c r="E175" s="263"/>
      <c r="F175" s="263"/>
      <c r="G175" s="263"/>
      <c r="H175" s="263"/>
      <c r="I175" s="263"/>
      <c r="J175" s="263"/>
      <c r="K175" s="263"/>
      <c r="L175" s="263"/>
      <c r="M175" s="263"/>
      <c r="N175" s="263"/>
      <c r="O175" s="263"/>
      <c r="P175" s="263"/>
      <c r="Q175" s="263"/>
      <c r="R175" s="263"/>
      <c r="S175" s="263"/>
      <c r="CM175" s="210"/>
      <c r="CN175" s="213" t="s">
        <v>1515</v>
      </c>
      <c r="CO175" s="213" t="s">
        <v>878</v>
      </c>
      <c r="CP175" s="213" t="s">
        <v>1290</v>
      </c>
      <c r="CQ175" s="213" t="s">
        <v>1516</v>
      </c>
      <c r="CR175" s="213" t="s">
        <v>1516</v>
      </c>
      <c r="CS175" s="213" t="s">
        <v>881</v>
      </c>
      <c r="CT175" s="213" t="s">
        <v>1296</v>
      </c>
      <c r="CU175" s="213" t="s">
        <v>883</v>
      </c>
      <c r="CV175" s="214" t="s">
        <v>884</v>
      </c>
      <c r="CX175" s="268"/>
    </row>
    <row r="176" spans="1:102" ht="21" customHeight="1">
      <c r="A176" s="263"/>
      <c r="B176" s="275" t="s">
        <v>1408</v>
      </c>
      <c r="C176" s="272" t="s">
        <v>1517</v>
      </c>
      <c r="D176" s="263"/>
      <c r="E176" s="263"/>
      <c r="F176" s="263"/>
      <c r="G176" s="263"/>
      <c r="H176" s="263"/>
      <c r="I176" s="263"/>
      <c r="J176" s="263"/>
      <c r="K176" s="263"/>
      <c r="L176" s="263"/>
      <c r="M176" s="263"/>
      <c r="N176" s="263"/>
      <c r="O176" s="263"/>
      <c r="P176" s="263"/>
      <c r="Q176" s="263"/>
      <c r="R176" s="263"/>
      <c r="S176" s="263"/>
      <c r="CM176" s="210"/>
      <c r="CN176" s="213" t="s">
        <v>1518</v>
      </c>
      <c r="CO176" s="213" t="s">
        <v>878</v>
      </c>
      <c r="CP176" s="213" t="s">
        <v>1290</v>
      </c>
      <c r="CQ176" s="213" t="s">
        <v>1519</v>
      </c>
      <c r="CR176" s="213" t="s">
        <v>1519</v>
      </c>
      <c r="CS176" s="213" t="s">
        <v>971</v>
      </c>
      <c r="CT176" s="213" t="s">
        <v>1292</v>
      </c>
      <c r="CU176" s="213" t="s">
        <v>883</v>
      </c>
      <c r="CV176" s="214" t="s">
        <v>973</v>
      </c>
      <c r="CX176" s="268"/>
    </row>
    <row r="177" spans="1:102" ht="21" customHeight="1">
      <c r="A177" s="263"/>
      <c r="B177" s="275" t="s">
        <v>1412</v>
      </c>
      <c r="C177" s="272" t="s">
        <v>1520</v>
      </c>
      <c r="D177" s="263"/>
      <c r="E177" s="263"/>
      <c r="F177" s="263"/>
      <c r="G177" s="263"/>
      <c r="H177" s="263"/>
      <c r="I177" s="263"/>
      <c r="J177" s="263"/>
      <c r="K177" s="263"/>
      <c r="L177" s="263"/>
      <c r="M177" s="263"/>
      <c r="N177" s="263"/>
      <c r="O177" s="263"/>
      <c r="P177" s="263"/>
      <c r="Q177" s="263"/>
      <c r="R177" s="263"/>
      <c r="S177" s="263"/>
      <c r="CM177" s="210"/>
      <c r="CN177" s="213" t="s">
        <v>1521</v>
      </c>
      <c r="CO177" s="213" t="s">
        <v>878</v>
      </c>
      <c r="CP177" s="213" t="s">
        <v>1290</v>
      </c>
      <c r="CQ177" s="213" t="s">
        <v>1522</v>
      </c>
      <c r="CR177" s="213" t="s">
        <v>1522</v>
      </c>
      <c r="CS177" s="213" t="s">
        <v>971</v>
      </c>
      <c r="CT177" s="213" t="s">
        <v>1292</v>
      </c>
      <c r="CU177" s="213" t="s">
        <v>883</v>
      </c>
      <c r="CV177" s="214" t="s">
        <v>973</v>
      </c>
      <c r="CX177" s="268"/>
    </row>
    <row r="178" spans="1:102" ht="21" customHeight="1">
      <c r="A178" s="263"/>
      <c r="B178" s="275" t="s">
        <v>1416</v>
      </c>
      <c r="C178" s="272" t="s">
        <v>1523</v>
      </c>
      <c r="D178" s="263"/>
      <c r="E178" s="263"/>
      <c r="F178" s="263"/>
      <c r="G178" s="263"/>
      <c r="H178" s="263"/>
      <c r="I178" s="263"/>
      <c r="J178" s="263"/>
      <c r="K178" s="263"/>
      <c r="L178" s="263"/>
      <c r="M178" s="263"/>
      <c r="N178" s="263"/>
      <c r="O178" s="263"/>
      <c r="P178" s="263"/>
      <c r="Q178" s="263"/>
      <c r="R178" s="263"/>
      <c r="S178" s="263"/>
      <c r="CM178" s="210"/>
      <c r="CN178" s="213" t="s">
        <v>1524</v>
      </c>
      <c r="CO178" s="213" t="s">
        <v>878</v>
      </c>
      <c r="CP178" s="213" t="s">
        <v>1290</v>
      </c>
      <c r="CQ178" s="213" t="s">
        <v>1525</v>
      </c>
      <c r="CR178" s="213" t="s">
        <v>1526</v>
      </c>
      <c r="CS178" s="213" t="s">
        <v>881</v>
      </c>
      <c r="CT178" s="213" t="s">
        <v>1296</v>
      </c>
      <c r="CU178" s="213" t="s">
        <v>883</v>
      </c>
      <c r="CV178" s="214" t="s">
        <v>884</v>
      </c>
      <c r="CX178" s="268"/>
    </row>
    <row r="179" spans="1:102" ht="21" customHeight="1">
      <c r="A179" s="263"/>
      <c r="B179" s="275" t="s">
        <v>1420</v>
      </c>
      <c r="C179" s="272" t="s">
        <v>1527</v>
      </c>
      <c r="D179" s="263"/>
      <c r="E179" s="263"/>
      <c r="F179" s="263"/>
      <c r="G179" s="263"/>
      <c r="H179" s="263"/>
      <c r="I179" s="263"/>
      <c r="J179" s="263"/>
      <c r="K179" s="263"/>
      <c r="L179" s="263"/>
      <c r="M179" s="263"/>
      <c r="N179" s="263"/>
      <c r="O179" s="263"/>
      <c r="P179" s="263"/>
      <c r="Q179" s="263"/>
      <c r="R179" s="263"/>
      <c r="S179" s="263"/>
      <c r="CM179" s="210"/>
      <c r="CN179" s="213" t="s">
        <v>1528</v>
      </c>
      <c r="CO179" s="213" t="s">
        <v>878</v>
      </c>
      <c r="CP179" s="213" t="s">
        <v>1290</v>
      </c>
      <c r="CQ179" s="213" t="s">
        <v>1529</v>
      </c>
      <c r="CR179" s="213" t="s">
        <v>1529</v>
      </c>
      <c r="CS179" s="213" t="s">
        <v>881</v>
      </c>
      <c r="CT179" s="213" t="s">
        <v>1296</v>
      </c>
      <c r="CU179" s="213" t="s">
        <v>883</v>
      </c>
      <c r="CV179" s="214" t="s">
        <v>884</v>
      </c>
      <c r="CX179" s="268"/>
    </row>
    <row r="180" spans="1:102" ht="21" customHeight="1">
      <c r="A180" s="263"/>
      <c r="B180" s="275" t="s">
        <v>1424</v>
      </c>
      <c r="C180" s="272" t="s">
        <v>1530</v>
      </c>
      <c r="D180" s="263"/>
      <c r="E180" s="263"/>
      <c r="F180" s="263"/>
      <c r="G180" s="263"/>
      <c r="H180" s="263"/>
      <c r="I180" s="263"/>
      <c r="J180" s="263"/>
      <c r="K180" s="263"/>
      <c r="L180" s="263"/>
      <c r="M180" s="263"/>
      <c r="N180" s="263"/>
      <c r="O180" s="263"/>
      <c r="P180" s="263"/>
      <c r="Q180" s="263"/>
      <c r="R180" s="263"/>
      <c r="S180" s="263"/>
      <c r="CM180" s="210"/>
      <c r="CN180" s="213" t="s">
        <v>1531</v>
      </c>
      <c r="CO180" s="213" t="s">
        <v>878</v>
      </c>
      <c r="CP180" s="213" t="s">
        <v>1290</v>
      </c>
      <c r="CQ180" s="213" t="s">
        <v>1532</v>
      </c>
      <c r="CR180" s="213" t="s">
        <v>1532</v>
      </c>
      <c r="CS180" s="213" t="s">
        <v>881</v>
      </c>
      <c r="CT180" s="213" t="s">
        <v>1296</v>
      </c>
      <c r="CU180" s="213" t="s">
        <v>883</v>
      </c>
      <c r="CV180" s="214" t="s">
        <v>884</v>
      </c>
      <c r="CX180" s="268"/>
    </row>
    <row r="181" spans="1:102" ht="21" customHeight="1">
      <c r="A181" s="263"/>
      <c r="B181" s="275" t="s">
        <v>1428</v>
      </c>
      <c r="C181" s="272" t="s">
        <v>1533</v>
      </c>
      <c r="D181" s="263"/>
      <c r="E181" s="263"/>
      <c r="F181" s="263"/>
      <c r="G181" s="263"/>
      <c r="H181" s="263"/>
      <c r="I181" s="263"/>
      <c r="J181" s="263"/>
      <c r="K181" s="263"/>
      <c r="L181" s="263"/>
      <c r="M181" s="263"/>
      <c r="N181" s="263"/>
      <c r="O181" s="263"/>
      <c r="P181" s="263"/>
      <c r="Q181" s="263"/>
      <c r="R181" s="263"/>
      <c r="S181" s="263"/>
      <c r="CM181" s="210"/>
      <c r="CN181" s="213" t="s">
        <v>1534</v>
      </c>
      <c r="CO181" s="213" t="s">
        <v>878</v>
      </c>
      <c r="CP181" s="213" t="s">
        <v>1290</v>
      </c>
      <c r="CQ181" s="213" t="s">
        <v>1535</v>
      </c>
      <c r="CR181" s="213" t="s">
        <v>1535</v>
      </c>
      <c r="CS181" s="213" t="s">
        <v>881</v>
      </c>
      <c r="CT181" s="213" t="s">
        <v>1296</v>
      </c>
      <c r="CU181" s="213" t="s">
        <v>883</v>
      </c>
      <c r="CV181" s="214" t="s">
        <v>884</v>
      </c>
      <c r="CX181" s="268"/>
    </row>
    <row r="182" spans="1:102" ht="21" customHeight="1">
      <c r="A182" s="263"/>
      <c r="B182" s="275" t="s">
        <v>1432</v>
      </c>
      <c r="C182" s="272" t="s">
        <v>1536</v>
      </c>
      <c r="D182" s="263"/>
      <c r="E182" s="263"/>
      <c r="F182" s="263"/>
      <c r="G182" s="263"/>
      <c r="H182" s="263"/>
      <c r="I182" s="263"/>
      <c r="J182" s="263"/>
      <c r="K182" s="263"/>
      <c r="L182" s="263"/>
      <c r="M182" s="263"/>
      <c r="N182" s="263"/>
      <c r="O182" s="263"/>
      <c r="P182" s="263"/>
      <c r="Q182" s="263"/>
      <c r="R182" s="263"/>
      <c r="S182" s="263"/>
      <c r="CM182" s="210"/>
      <c r="CN182" s="213" t="s">
        <v>1537</v>
      </c>
      <c r="CO182" s="213" t="s">
        <v>878</v>
      </c>
      <c r="CP182" s="213" t="s">
        <v>1290</v>
      </c>
      <c r="CQ182" s="213" t="s">
        <v>1538</v>
      </c>
      <c r="CR182" s="213" t="s">
        <v>1538</v>
      </c>
      <c r="CS182" s="213" t="s">
        <v>881</v>
      </c>
      <c r="CT182" s="213" t="s">
        <v>1296</v>
      </c>
      <c r="CU182" s="213" t="s">
        <v>883</v>
      </c>
      <c r="CV182" s="214" t="s">
        <v>884</v>
      </c>
      <c r="CX182" s="268"/>
    </row>
    <row r="183" spans="1:102" ht="21" customHeight="1">
      <c r="A183" s="263"/>
      <c r="B183" s="275"/>
      <c r="C183" s="272"/>
      <c r="D183" s="263"/>
      <c r="E183" s="263"/>
      <c r="F183" s="263"/>
      <c r="G183" s="263"/>
      <c r="H183" s="263"/>
      <c r="I183" s="263"/>
      <c r="J183" s="263"/>
      <c r="K183" s="263"/>
      <c r="L183" s="263"/>
      <c r="M183" s="263"/>
      <c r="N183" s="263"/>
      <c r="O183" s="263"/>
      <c r="P183" s="263"/>
      <c r="Q183" s="263"/>
      <c r="R183" s="263"/>
      <c r="S183" s="263"/>
      <c r="CM183" s="210"/>
      <c r="CN183" s="213" t="s">
        <v>1539</v>
      </c>
      <c r="CO183" s="213" t="s">
        <v>878</v>
      </c>
      <c r="CP183" s="213" t="s">
        <v>1290</v>
      </c>
      <c r="CQ183" s="213" t="s">
        <v>1540</v>
      </c>
      <c r="CR183" s="213" t="s">
        <v>1540</v>
      </c>
      <c r="CS183" s="213" t="s">
        <v>881</v>
      </c>
      <c r="CT183" s="213" t="s">
        <v>1296</v>
      </c>
      <c r="CU183" s="213" t="s">
        <v>883</v>
      </c>
      <c r="CV183" s="214" t="s">
        <v>884</v>
      </c>
      <c r="CX183" s="268"/>
    </row>
    <row r="184" spans="1:102" ht="21" customHeight="1">
      <c r="A184" s="263"/>
      <c r="B184" s="278" t="s">
        <v>1541</v>
      </c>
      <c r="C184" s="278"/>
      <c r="D184" s="263"/>
      <c r="E184" s="263"/>
      <c r="F184" s="263"/>
      <c r="G184" s="263"/>
      <c r="H184" s="263"/>
      <c r="I184" s="263"/>
      <c r="J184" s="263"/>
      <c r="K184" s="263"/>
      <c r="L184" s="263"/>
      <c r="M184" s="263"/>
      <c r="N184" s="263"/>
      <c r="O184" s="263"/>
      <c r="P184" s="263"/>
      <c r="Q184" s="263"/>
      <c r="R184" s="263"/>
      <c r="S184" s="263"/>
      <c r="CM184" s="210"/>
      <c r="CN184" s="213" t="s">
        <v>1542</v>
      </c>
      <c r="CO184" s="213" t="s">
        <v>878</v>
      </c>
      <c r="CP184" s="213" t="s">
        <v>1543</v>
      </c>
      <c r="CQ184" s="213" t="s">
        <v>1544</v>
      </c>
      <c r="CR184" s="213" t="s">
        <v>1544</v>
      </c>
      <c r="CS184" s="213" t="s">
        <v>881</v>
      </c>
      <c r="CT184" s="213" t="s">
        <v>1545</v>
      </c>
      <c r="CU184" s="213" t="s">
        <v>883</v>
      </c>
      <c r="CV184" s="214" t="s">
        <v>884</v>
      </c>
      <c r="CX184" s="268"/>
    </row>
    <row r="185" spans="1:102" ht="21" customHeight="1">
      <c r="A185" s="263"/>
      <c r="B185" s="279" t="s">
        <v>3</v>
      </c>
      <c r="C185" s="272" t="s">
        <v>1546</v>
      </c>
      <c r="D185" s="263"/>
      <c r="E185" s="263"/>
      <c r="F185" s="263"/>
      <c r="G185" s="263"/>
      <c r="H185" s="263"/>
      <c r="I185" s="263"/>
      <c r="J185" s="263"/>
      <c r="K185" s="263"/>
      <c r="L185" s="263"/>
      <c r="M185" s="263"/>
      <c r="N185" s="263"/>
      <c r="O185" s="263"/>
      <c r="P185" s="263"/>
      <c r="Q185" s="263"/>
      <c r="R185" s="263"/>
      <c r="S185" s="263"/>
      <c r="CM185" s="210"/>
      <c r="CN185" s="213" t="s">
        <v>1547</v>
      </c>
      <c r="CO185" s="213" t="s">
        <v>878</v>
      </c>
      <c r="CP185" s="213" t="s">
        <v>1543</v>
      </c>
      <c r="CQ185" s="213" t="s">
        <v>1548</v>
      </c>
      <c r="CR185" s="213" t="s">
        <v>1548</v>
      </c>
      <c r="CS185" s="213" t="s">
        <v>881</v>
      </c>
      <c r="CT185" s="213" t="s">
        <v>1545</v>
      </c>
      <c r="CU185" s="213" t="s">
        <v>883</v>
      </c>
      <c r="CV185" s="214" t="s">
        <v>884</v>
      </c>
      <c r="CX185" s="268"/>
    </row>
    <row r="186" spans="1:102" ht="21" customHeight="1">
      <c r="A186" s="263"/>
      <c r="B186" s="280"/>
      <c r="C186" s="272" t="s">
        <v>1549</v>
      </c>
      <c r="D186" s="263"/>
      <c r="E186" s="263"/>
      <c r="F186" s="263"/>
      <c r="G186" s="263"/>
      <c r="H186" s="263"/>
      <c r="I186" s="263"/>
      <c r="J186" s="263"/>
      <c r="K186" s="263"/>
      <c r="L186" s="263"/>
      <c r="M186" s="263"/>
      <c r="N186" s="263"/>
      <c r="O186" s="263"/>
      <c r="P186" s="263"/>
      <c r="Q186" s="263"/>
      <c r="R186" s="263"/>
      <c r="S186" s="263"/>
      <c r="CM186" s="210"/>
      <c r="CN186" s="213" t="s">
        <v>1550</v>
      </c>
      <c r="CO186" s="213" t="s">
        <v>878</v>
      </c>
      <c r="CP186" s="213" t="s">
        <v>1543</v>
      </c>
      <c r="CQ186" s="213" t="s">
        <v>1551</v>
      </c>
      <c r="CR186" s="213" t="s">
        <v>1551</v>
      </c>
      <c r="CS186" s="213" t="s">
        <v>971</v>
      </c>
      <c r="CT186" s="213" t="s">
        <v>1552</v>
      </c>
      <c r="CU186" s="213" t="s">
        <v>883</v>
      </c>
      <c r="CV186" s="214" t="s">
        <v>973</v>
      </c>
      <c r="CX186" s="268"/>
    </row>
    <row r="187" spans="1:102" ht="21" customHeight="1">
      <c r="A187" s="263"/>
      <c r="B187" s="279" t="s">
        <v>1553</v>
      </c>
      <c r="C187" s="272" t="s">
        <v>1554</v>
      </c>
      <c r="D187" s="263"/>
      <c r="E187" s="263"/>
      <c r="F187" s="263"/>
      <c r="G187" s="263"/>
      <c r="H187" s="263"/>
      <c r="I187" s="263"/>
      <c r="J187" s="263"/>
      <c r="K187" s="263"/>
      <c r="L187" s="263"/>
      <c r="M187" s="263"/>
      <c r="N187" s="263"/>
      <c r="O187" s="263"/>
      <c r="P187" s="263"/>
      <c r="Q187" s="263"/>
      <c r="R187" s="263"/>
      <c r="S187" s="263"/>
      <c r="CM187" s="210"/>
      <c r="CN187" s="213" t="s">
        <v>1555</v>
      </c>
      <c r="CO187" s="213" t="s">
        <v>878</v>
      </c>
      <c r="CP187" s="213" t="s">
        <v>1543</v>
      </c>
      <c r="CQ187" s="213" t="s">
        <v>1556</v>
      </c>
      <c r="CR187" s="213" t="s">
        <v>1556</v>
      </c>
      <c r="CS187" s="213" t="s">
        <v>971</v>
      </c>
      <c r="CT187" s="213" t="s">
        <v>1552</v>
      </c>
      <c r="CU187" s="213" t="s">
        <v>883</v>
      </c>
      <c r="CV187" s="214" t="s">
        <v>973</v>
      </c>
      <c r="CX187" s="268"/>
    </row>
    <row r="188" spans="1:102" ht="21" customHeight="1">
      <c r="A188" s="263"/>
      <c r="B188" s="272"/>
      <c r="C188" s="272" t="s">
        <v>1557</v>
      </c>
      <c r="D188" s="263"/>
      <c r="E188" s="263"/>
      <c r="F188" s="263"/>
      <c r="G188" s="263"/>
      <c r="H188" s="263"/>
      <c r="I188" s="263"/>
      <c r="J188" s="263"/>
      <c r="K188" s="263"/>
      <c r="L188" s="263"/>
      <c r="M188" s="263"/>
      <c r="N188" s="263"/>
      <c r="O188" s="263"/>
      <c r="P188" s="263"/>
      <c r="Q188" s="263"/>
      <c r="R188" s="263"/>
      <c r="S188" s="263"/>
      <c r="CM188" s="210"/>
      <c r="CN188" s="213" t="s">
        <v>1558</v>
      </c>
      <c r="CO188" s="213" t="s">
        <v>878</v>
      </c>
      <c r="CP188" s="213" t="s">
        <v>1543</v>
      </c>
      <c r="CQ188" s="213" t="s">
        <v>1559</v>
      </c>
      <c r="CR188" s="213" t="s">
        <v>1559</v>
      </c>
      <c r="CS188" s="213" t="s">
        <v>881</v>
      </c>
      <c r="CT188" s="213" t="s">
        <v>1545</v>
      </c>
      <c r="CU188" s="213" t="s">
        <v>883</v>
      </c>
      <c r="CV188" s="214" t="s">
        <v>884</v>
      </c>
      <c r="CX188" s="268"/>
    </row>
    <row r="189" spans="1:102" ht="21" customHeight="1">
      <c r="A189" s="263"/>
      <c r="B189" s="272"/>
      <c r="C189" s="272"/>
      <c r="D189" s="263"/>
      <c r="E189" s="263"/>
      <c r="F189" s="263"/>
      <c r="G189" s="263"/>
      <c r="H189" s="263"/>
      <c r="I189" s="263"/>
      <c r="J189" s="263"/>
      <c r="K189" s="263"/>
      <c r="L189" s="263"/>
      <c r="M189" s="263"/>
      <c r="N189" s="263"/>
      <c r="O189" s="263"/>
      <c r="P189" s="263"/>
      <c r="Q189" s="263"/>
      <c r="R189" s="263"/>
      <c r="S189" s="263"/>
      <c r="CM189" s="210"/>
      <c r="CN189" s="213" t="s">
        <v>1560</v>
      </c>
      <c r="CO189" s="213" t="s">
        <v>878</v>
      </c>
      <c r="CP189" s="213" t="s">
        <v>1543</v>
      </c>
      <c r="CQ189" s="213" t="s">
        <v>1561</v>
      </c>
      <c r="CR189" s="213" t="s">
        <v>1561</v>
      </c>
      <c r="CS189" s="213" t="s">
        <v>881</v>
      </c>
      <c r="CT189" s="213" t="s">
        <v>1545</v>
      </c>
      <c r="CU189" s="213" t="s">
        <v>883</v>
      </c>
      <c r="CV189" s="214" t="s">
        <v>884</v>
      </c>
      <c r="CX189" s="268"/>
    </row>
    <row r="190" spans="1:102" ht="21" customHeight="1">
      <c r="A190" s="263"/>
      <c r="B190" s="278" t="s">
        <v>1562</v>
      </c>
      <c r="C190" s="278"/>
      <c r="D190" s="263"/>
      <c r="E190" s="263"/>
      <c r="F190" s="263"/>
      <c r="G190" s="263"/>
      <c r="H190" s="263"/>
      <c r="I190" s="263"/>
      <c r="J190" s="263"/>
      <c r="K190" s="263"/>
      <c r="L190" s="263"/>
      <c r="M190" s="263"/>
      <c r="N190" s="263"/>
      <c r="O190" s="263"/>
      <c r="P190" s="263"/>
      <c r="Q190" s="263"/>
      <c r="R190" s="263"/>
      <c r="S190" s="263"/>
      <c r="CM190" s="210"/>
      <c r="CN190" s="213" t="s">
        <v>1563</v>
      </c>
      <c r="CO190" s="213" t="s">
        <v>878</v>
      </c>
      <c r="CP190" s="213" t="s">
        <v>1543</v>
      </c>
      <c r="CQ190" s="213" t="s">
        <v>1564</v>
      </c>
      <c r="CR190" s="213" t="s">
        <v>1564</v>
      </c>
      <c r="CS190" s="213" t="s">
        <v>881</v>
      </c>
      <c r="CT190" s="213" t="s">
        <v>1545</v>
      </c>
      <c r="CU190" s="213" t="s">
        <v>883</v>
      </c>
      <c r="CV190" s="214" t="s">
        <v>884</v>
      </c>
      <c r="CX190" s="268"/>
    </row>
    <row r="191" spans="1:102" ht="21" customHeight="1">
      <c r="A191" s="263"/>
      <c r="B191" s="275" t="s">
        <v>1565</v>
      </c>
      <c r="C191" s="272" t="s">
        <v>1566</v>
      </c>
      <c r="D191" s="263"/>
      <c r="E191" s="263"/>
      <c r="F191" s="263"/>
      <c r="G191" s="263"/>
      <c r="H191" s="263"/>
      <c r="I191" s="263"/>
      <c r="J191" s="263"/>
      <c r="K191" s="263"/>
      <c r="L191" s="263"/>
      <c r="M191" s="263"/>
      <c r="N191" s="263"/>
      <c r="O191" s="263"/>
      <c r="P191" s="263"/>
      <c r="Q191" s="263"/>
      <c r="R191" s="263"/>
      <c r="S191" s="263"/>
      <c r="CM191" s="210"/>
      <c r="CN191" s="213" t="s">
        <v>1567</v>
      </c>
      <c r="CO191" s="213" t="s">
        <v>878</v>
      </c>
      <c r="CP191" s="213" t="s">
        <v>1543</v>
      </c>
      <c r="CQ191" s="213" t="s">
        <v>1568</v>
      </c>
      <c r="CR191" s="213" t="s">
        <v>1568</v>
      </c>
      <c r="CS191" s="213" t="s">
        <v>881</v>
      </c>
      <c r="CT191" s="213" t="s">
        <v>1545</v>
      </c>
      <c r="CU191" s="213" t="s">
        <v>883</v>
      </c>
      <c r="CV191" s="214" t="s">
        <v>884</v>
      </c>
      <c r="CX191" s="268"/>
    </row>
    <row r="192" spans="1:102" ht="21" customHeight="1">
      <c r="A192" s="263"/>
      <c r="B192" s="275" t="s">
        <v>1569</v>
      </c>
      <c r="C192" s="272" t="s">
        <v>1570</v>
      </c>
      <c r="D192" s="263"/>
      <c r="E192" s="263"/>
      <c r="F192" s="263"/>
      <c r="G192" s="263"/>
      <c r="H192" s="263"/>
      <c r="I192" s="263"/>
      <c r="J192" s="263"/>
      <c r="K192" s="263"/>
      <c r="L192" s="263"/>
      <c r="M192" s="263"/>
      <c r="N192" s="263"/>
      <c r="O192" s="263"/>
      <c r="P192" s="263"/>
      <c r="Q192" s="263"/>
      <c r="R192" s="263"/>
      <c r="S192" s="263"/>
      <c r="CM192" s="210"/>
      <c r="CN192" s="213" t="s">
        <v>1571</v>
      </c>
      <c r="CO192" s="213" t="s">
        <v>878</v>
      </c>
      <c r="CP192" s="213" t="s">
        <v>1543</v>
      </c>
      <c r="CQ192" s="213" t="s">
        <v>1572</v>
      </c>
      <c r="CR192" s="213" t="s">
        <v>1572</v>
      </c>
      <c r="CS192" s="213" t="s">
        <v>881</v>
      </c>
      <c r="CT192" s="213" t="s">
        <v>1545</v>
      </c>
      <c r="CU192" s="213" t="s">
        <v>883</v>
      </c>
      <c r="CV192" s="214" t="s">
        <v>884</v>
      </c>
      <c r="CX192" s="268"/>
    </row>
    <row r="193" spans="1:102" ht="21" customHeight="1">
      <c r="A193" s="263"/>
      <c r="B193" s="275" t="s">
        <v>1573</v>
      </c>
      <c r="C193" s="272" t="s">
        <v>1574</v>
      </c>
      <c r="D193" s="263"/>
      <c r="E193" s="263"/>
      <c r="F193" s="263"/>
      <c r="G193" s="263"/>
      <c r="H193" s="263"/>
      <c r="I193" s="263"/>
      <c r="J193" s="263"/>
      <c r="K193" s="263"/>
      <c r="L193" s="263"/>
      <c r="M193" s="263"/>
      <c r="N193" s="263"/>
      <c r="O193" s="263"/>
      <c r="P193" s="263"/>
      <c r="Q193" s="263"/>
      <c r="R193" s="263"/>
      <c r="S193" s="263"/>
      <c r="CM193" s="210"/>
      <c r="CN193" s="213" t="s">
        <v>1575</v>
      </c>
      <c r="CO193" s="213" t="s">
        <v>878</v>
      </c>
      <c r="CP193" s="213" t="s">
        <v>1543</v>
      </c>
      <c r="CQ193" s="213" t="s">
        <v>1576</v>
      </c>
      <c r="CR193" s="213" t="s">
        <v>1576</v>
      </c>
      <c r="CS193" s="213" t="s">
        <v>881</v>
      </c>
      <c r="CT193" s="213" t="s">
        <v>1545</v>
      </c>
      <c r="CU193" s="213" t="s">
        <v>883</v>
      </c>
      <c r="CV193" s="214" t="s">
        <v>884</v>
      </c>
      <c r="CX193" s="268"/>
    </row>
    <row r="194" spans="1:102" ht="21" customHeight="1">
      <c r="A194" s="263"/>
      <c r="B194" s="275" t="s">
        <v>1577</v>
      </c>
      <c r="C194" s="272" t="s">
        <v>1578</v>
      </c>
      <c r="D194" s="263"/>
      <c r="E194" s="263"/>
      <c r="F194" s="263"/>
      <c r="G194" s="263"/>
      <c r="H194" s="263"/>
      <c r="I194" s="263"/>
      <c r="J194" s="263"/>
      <c r="K194" s="263"/>
      <c r="L194" s="263"/>
      <c r="M194" s="263"/>
      <c r="N194" s="263"/>
      <c r="O194" s="263"/>
      <c r="P194" s="263"/>
      <c r="Q194" s="263"/>
      <c r="R194" s="263"/>
      <c r="S194" s="263"/>
      <c r="CM194" s="210"/>
      <c r="CN194" s="213" t="s">
        <v>1579</v>
      </c>
      <c r="CO194" s="213" t="s">
        <v>878</v>
      </c>
      <c r="CP194" s="213" t="s">
        <v>1543</v>
      </c>
      <c r="CQ194" s="213" t="s">
        <v>1580</v>
      </c>
      <c r="CR194" s="213" t="s">
        <v>1580</v>
      </c>
      <c r="CS194" s="213" t="s">
        <v>881</v>
      </c>
      <c r="CT194" s="213" t="s">
        <v>1545</v>
      </c>
      <c r="CU194" s="213" t="s">
        <v>883</v>
      </c>
      <c r="CV194" s="214" t="s">
        <v>884</v>
      </c>
      <c r="CX194" s="268"/>
    </row>
    <row r="195" spans="1:102" ht="21" customHeight="1">
      <c r="A195" s="263"/>
      <c r="B195" s="275"/>
      <c r="C195" s="272" t="s">
        <v>1581</v>
      </c>
      <c r="D195" s="263"/>
      <c r="E195" s="263"/>
      <c r="F195" s="263"/>
      <c r="G195" s="263"/>
      <c r="H195" s="263"/>
      <c r="I195" s="263"/>
      <c r="J195" s="263"/>
      <c r="K195" s="263"/>
      <c r="L195" s="263"/>
      <c r="M195" s="263"/>
      <c r="N195" s="263"/>
      <c r="O195" s="263"/>
      <c r="P195" s="263"/>
      <c r="Q195" s="263"/>
      <c r="R195" s="263"/>
      <c r="S195" s="263"/>
      <c r="CM195" s="210"/>
      <c r="CN195" s="213" t="s">
        <v>1582</v>
      </c>
      <c r="CO195" s="213" t="s">
        <v>878</v>
      </c>
      <c r="CP195" s="213" t="s">
        <v>1543</v>
      </c>
      <c r="CQ195" s="213" t="s">
        <v>1583</v>
      </c>
      <c r="CR195" s="213" t="s">
        <v>1584</v>
      </c>
      <c r="CS195" s="213" t="s">
        <v>971</v>
      </c>
      <c r="CT195" s="213" t="s">
        <v>1552</v>
      </c>
      <c r="CU195" s="213" t="s">
        <v>883</v>
      </c>
      <c r="CV195" s="214" t="s">
        <v>973</v>
      </c>
      <c r="CX195" s="268"/>
    </row>
    <row r="196" spans="1:102" ht="21" customHeight="1">
      <c r="A196" s="263"/>
      <c r="B196" s="275" t="s">
        <v>1585</v>
      </c>
      <c r="C196" s="272" t="s">
        <v>1586</v>
      </c>
      <c r="D196" s="263"/>
      <c r="E196" s="263"/>
      <c r="F196" s="263"/>
      <c r="G196" s="263"/>
      <c r="H196" s="263"/>
      <c r="I196" s="263"/>
      <c r="J196" s="263"/>
      <c r="K196" s="263"/>
      <c r="L196" s="263"/>
      <c r="M196" s="263"/>
      <c r="N196" s="263"/>
      <c r="O196" s="263"/>
      <c r="P196" s="263"/>
      <c r="Q196" s="263"/>
      <c r="R196" s="263"/>
      <c r="S196" s="263"/>
      <c r="CM196" s="210"/>
      <c r="CN196" s="213" t="s">
        <v>1587</v>
      </c>
      <c r="CO196" s="213" t="s">
        <v>878</v>
      </c>
      <c r="CP196" s="213" t="s">
        <v>1543</v>
      </c>
      <c r="CQ196" s="213" t="s">
        <v>1588</v>
      </c>
      <c r="CR196" s="213" t="s">
        <v>1588</v>
      </c>
      <c r="CS196" s="213" t="s">
        <v>881</v>
      </c>
      <c r="CT196" s="213" t="s">
        <v>1545</v>
      </c>
      <c r="CU196" s="213" t="s">
        <v>883</v>
      </c>
      <c r="CV196" s="214" t="s">
        <v>884</v>
      </c>
      <c r="CX196" s="268"/>
    </row>
    <row r="197" spans="1:102" ht="21" customHeight="1">
      <c r="A197" s="263"/>
      <c r="B197" s="275"/>
      <c r="C197" s="272"/>
      <c r="D197" s="263"/>
      <c r="E197" s="263"/>
      <c r="F197" s="263"/>
      <c r="G197" s="263"/>
      <c r="H197" s="263"/>
      <c r="I197" s="263"/>
      <c r="J197" s="263"/>
      <c r="K197" s="263"/>
      <c r="L197" s="263"/>
      <c r="M197" s="263"/>
      <c r="N197" s="263"/>
      <c r="O197" s="263"/>
      <c r="P197" s="263"/>
      <c r="Q197" s="263"/>
      <c r="R197" s="263"/>
      <c r="S197" s="263"/>
      <c r="CM197" s="210"/>
      <c r="CN197" s="213" t="s">
        <v>1589</v>
      </c>
      <c r="CO197" s="213" t="s">
        <v>878</v>
      </c>
      <c r="CP197" s="213" t="s">
        <v>1543</v>
      </c>
      <c r="CQ197" s="213" t="s">
        <v>1590</v>
      </c>
      <c r="CR197" s="213" t="s">
        <v>1590</v>
      </c>
      <c r="CS197" s="213" t="s">
        <v>881</v>
      </c>
      <c r="CT197" s="213" t="s">
        <v>1545</v>
      </c>
      <c r="CU197" s="213" t="s">
        <v>883</v>
      </c>
      <c r="CV197" s="214" t="s">
        <v>884</v>
      </c>
      <c r="CX197" s="268"/>
    </row>
    <row r="198" spans="1:102" ht="21" customHeight="1">
      <c r="A198" s="263"/>
      <c r="B198" s="275" t="s">
        <v>1591</v>
      </c>
      <c r="C198" s="272" t="s">
        <v>1592</v>
      </c>
      <c r="D198" s="263"/>
      <c r="E198" s="263"/>
      <c r="F198" s="263"/>
      <c r="G198" s="263"/>
      <c r="H198" s="263"/>
      <c r="I198" s="263"/>
      <c r="J198" s="263"/>
      <c r="K198" s="263"/>
      <c r="L198" s="263"/>
      <c r="M198" s="263"/>
      <c r="N198" s="263"/>
      <c r="O198" s="263"/>
      <c r="P198" s="263"/>
      <c r="Q198" s="263"/>
      <c r="R198" s="263"/>
      <c r="S198" s="263"/>
      <c r="CM198" s="210"/>
      <c r="CN198" s="213" t="s">
        <v>1593</v>
      </c>
      <c r="CO198" s="213" t="s">
        <v>878</v>
      </c>
      <c r="CP198" s="213" t="s">
        <v>1543</v>
      </c>
      <c r="CQ198" s="213" t="s">
        <v>1594</v>
      </c>
      <c r="CR198" s="213" t="s">
        <v>1594</v>
      </c>
      <c r="CS198" s="213" t="s">
        <v>881</v>
      </c>
      <c r="CT198" s="213" t="s">
        <v>1545</v>
      </c>
      <c r="CU198" s="213" t="s">
        <v>883</v>
      </c>
      <c r="CV198" s="214" t="s">
        <v>884</v>
      </c>
      <c r="CX198" s="268"/>
    </row>
    <row r="199" spans="1:102" ht="21" customHeight="1">
      <c r="A199" s="263"/>
      <c r="B199" s="275" t="s">
        <v>1595</v>
      </c>
      <c r="C199" s="272" t="s">
        <v>1596</v>
      </c>
      <c r="D199" s="263"/>
      <c r="E199" s="263"/>
      <c r="F199" s="263"/>
      <c r="G199" s="263"/>
      <c r="H199" s="263"/>
      <c r="I199" s="263"/>
      <c r="J199" s="263"/>
      <c r="K199" s="263"/>
      <c r="L199" s="263"/>
      <c r="M199" s="263"/>
      <c r="N199" s="263"/>
      <c r="O199" s="263"/>
      <c r="P199" s="263"/>
      <c r="Q199" s="263"/>
      <c r="R199" s="263"/>
      <c r="S199" s="263"/>
      <c r="CM199" s="210"/>
      <c r="CN199" s="213" t="s">
        <v>1597</v>
      </c>
      <c r="CO199" s="213" t="s">
        <v>878</v>
      </c>
      <c r="CP199" s="213" t="s">
        <v>1543</v>
      </c>
      <c r="CQ199" s="213" t="s">
        <v>1598</v>
      </c>
      <c r="CR199" s="213" t="s">
        <v>1598</v>
      </c>
      <c r="CS199" s="213" t="s">
        <v>881</v>
      </c>
      <c r="CT199" s="213" t="s">
        <v>1545</v>
      </c>
      <c r="CU199" s="213" t="s">
        <v>883</v>
      </c>
      <c r="CV199" s="214" t="s">
        <v>884</v>
      </c>
      <c r="CX199" s="268"/>
    </row>
    <row r="200" spans="1:102" ht="21" customHeight="1">
      <c r="A200" s="263"/>
      <c r="B200" s="275"/>
      <c r="C200" s="272" t="s">
        <v>1599</v>
      </c>
      <c r="D200" s="263"/>
      <c r="E200" s="263"/>
      <c r="F200" s="263"/>
      <c r="G200" s="263"/>
      <c r="H200" s="263"/>
      <c r="I200" s="263"/>
      <c r="J200" s="263"/>
      <c r="K200" s="263"/>
      <c r="L200" s="263"/>
      <c r="M200" s="263"/>
      <c r="N200" s="263"/>
      <c r="O200" s="263"/>
      <c r="P200" s="263"/>
      <c r="Q200" s="263"/>
      <c r="R200" s="263"/>
      <c r="S200" s="263"/>
      <c r="CM200" s="210"/>
      <c r="CN200" s="213" t="s">
        <v>1600</v>
      </c>
      <c r="CO200" s="213" t="s">
        <v>878</v>
      </c>
      <c r="CP200" s="213" t="s">
        <v>1543</v>
      </c>
      <c r="CQ200" s="213" t="s">
        <v>1601</v>
      </c>
      <c r="CR200" s="213" t="s">
        <v>1601</v>
      </c>
      <c r="CS200" s="213" t="s">
        <v>881</v>
      </c>
      <c r="CT200" s="213" t="s">
        <v>1545</v>
      </c>
      <c r="CU200" s="213" t="s">
        <v>883</v>
      </c>
      <c r="CV200" s="214" t="s">
        <v>884</v>
      </c>
      <c r="CX200" s="268"/>
    </row>
    <row r="201" spans="1:102" ht="21" customHeight="1">
      <c r="A201" s="263"/>
      <c r="B201" s="275" t="s">
        <v>1602</v>
      </c>
      <c r="C201" s="272" t="s">
        <v>1603</v>
      </c>
      <c r="D201" s="263"/>
      <c r="E201" s="263"/>
      <c r="F201" s="263"/>
      <c r="G201" s="263"/>
      <c r="H201" s="263"/>
      <c r="I201" s="263"/>
      <c r="J201" s="263"/>
      <c r="K201" s="263"/>
      <c r="L201" s="263"/>
      <c r="M201" s="263"/>
      <c r="N201" s="263"/>
      <c r="O201" s="263"/>
      <c r="P201" s="263"/>
      <c r="Q201" s="263"/>
      <c r="R201" s="263"/>
      <c r="S201" s="263"/>
      <c r="CM201" s="210"/>
      <c r="CN201" s="213" t="s">
        <v>1604</v>
      </c>
      <c r="CO201" s="213" t="s">
        <v>878</v>
      </c>
      <c r="CP201" s="213" t="s">
        <v>1543</v>
      </c>
      <c r="CQ201" s="213" t="s">
        <v>1605</v>
      </c>
      <c r="CR201" s="213" t="s">
        <v>1605</v>
      </c>
      <c r="CS201" s="213" t="s">
        <v>881</v>
      </c>
      <c r="CT201" s="213" t="s">
        <v>1545</v>
      </c>
      <c r="CU201" s="213" t="s">
        <v>883</v>
      </c>
      <c r="CV201" s="214" t="s">
        <v>884</v>
      </c>
      <c r="CX201" s="268"/>
    </row>
    <row r="202" spans="1:102" ht="21" customHeight="1">
      <c r="A202" s="263"/>
      <c r="B202" s="275"/>
      <c r="C202" s="272" t="s">
        <v>1606</v>
      </c>
      <c r="D202" s="263"/>
      <c r="E202" s="263"/>
      <c r="F202" s="263"/>
      <c r="G202" s="263"/>
      <c r="H202" s="263"/>
      <c r="I202" s="263"/>
      <c r="J202" s="263"/>
      <c r="K202" s="263"/>
      <c r="L202" s="263"/>
      <c r="M202" s="263"/>
      <c r="N202" s="263"/>
      <c r="O202" s="263"/>
      <c r="P202" s="263"/>
      <c r="Q202" s="263"/>
      <c r="R202" s="263"/>
      <c r="S202" s="263"/>
      <c r="CM202" s="210"/>
      <c r="CN202" s="213" t="s">
        <v>1607</v>
      </c>
      <c r="CO202" s="213" t="s">
        <v>878</v>
      </c>
      <c r="CP202" s="213" t="s">
        <v>1543</v>
      </c>
      <c r="CQ202" s="213" t="s">
        <v>1608</v>
      </c>
      <c r="CR202" s="213" t="s">
        <v>1608</v>
      </c>
      <c r="CS202" s="213" t="s">
        <v>881</v>
      </c>
      <c r="CT202" s="213" t="s">
        <v>1545</v>
      </c>
      <c r="CU202" s="213" t="s">
        <v>883</v>
      </c>
      <c r="CV202" s="214" t="s">
        <v>884</v>
      </c>
      <c r="CX202" s="268"/>
    </row>
    <row r="203" spans="1:102" ht="21" customHeight="1">
      <c r="A203" s="263"/>
      <c r="B203" s="272"/>
      <c r="C203" s="272"/>
      <c r="D203" s="263"/>
      <c r="E203" s="263"/>
      <c r="F203" s="263"/>
      <c r="G203" s="263"/>
      <c r="H203" s="263"/>
      <c r="I203" s="263"/>
      <c r="J203" s="263"/>
      <c r="K203" s="263"/>
      <c r="L203" s="263"/>
      <c r="M203" s="263"/>
      <c r="N203" s="263"/>
      <c r="O203" s="263"/>
      <c r="P203" s="263"/>
      <c r="Q203" s="263"/>
      <c r="R203" s="263"/>
      <c r="S203" s="263"/>
      <c r="CM203" s="210"/>
      <c r="CN203" s="213" t="s">
        <v>1609</v>
      </c>
      <c r="CO203" s="213" t="s">
        <v>878</v>
      </c>
      <c r="CP203" s="213" t="s">
        <v>1543</v>
      </c>
      <c r="CQ203" s="213" t="s">
        <v>1610</v>
      </c>
      <c r="CR203" s="213" t="s">
        <v>1610</v>
      </c>
      <c r="CS203" s="213" t="s">
        <v>881</v>
      </c>
      <c r="CT203" s="213" t="s">
        <v>1545</v>
      </c>
      <c r="CU203" s="213" t="s">
        <v>883</v>
      </c>
      <c r="CV203" s="214" t="s">
        <v>884</v>
      </c>
      <c r="CX203" s="268"/>
    </row>
    <row r="204" spans="1:102" ht="21" customHeight="1">
      <c r="A204" s="263"/>
      <c r="B204" s="280" t="s">
        <v>1611</v>
      </c>
      <c r="C204" s="281"/>
      <c r="D204" s="263"/>
      <c r="E204" s="263"/>
      <c r="F204" s="263"/>
      <c r="G204" s="263"/>
      <c r="H204" s="263"/>
      <c r="I204" s="263"/>
      <c r="J204" s="263"/>
      <c r="K204" s="263"/>
      <c r="L204" s="263"/>
      <c r="M204" s="263"/>
      <c r="N204" s="263"/>
      <c r="O204" s="263"/>
      <c r="P204" s="263"/>
      <c r="Q204" s="263"/>
      <c r="R204" s="263"/>
      <c r="S204" s="263"/>
      <c r="CM204" s="210"/>
      <c r="CN204" s="213" t="s">
        <v>1612</v>
      </c>
      <c r="CO204" s="213" t="s">
        <v>878</v>
      </c>
      <c r="CP204" s="213" t="s">
        <v>1543</v>
      </c>
      <c r="CQ204" s="213" t="s">
        <v>1613</v>
      </c>
      <c r="CR204" s="213" t="s">
        <v>1613</v>
      </c>
      <c r="CS204" s="213" t="s">
        <v>881</v>
      </c>
      <c r="CT204" s="213" t="s">
        <v>1545</v>
      </c>
      <c r="CU204" s="213" t="s">
        <v>883</v>
      </c>
      <c r="CV204" s="214" t="s">
        <v>884</v>
      </c>
      <c r="CX204" s="268"/>
    </row>
    <row r="205" spans="1:102" ht="21" customHeight="1">
      <c r="A205" s="263"/>
      <c r="B205" s="275" t="s">
        <v>464</v>
      </c>
      <c r="C205" s="272" t="s">
        <v>1614</v>
      </c>
      <c r="D205" s="263"/>
      <c r="E205" s="263"/>
      <c r="F205" s="263"/>
      <c r="G205" s="263"/>
      <c r="H205" s="263"/>
      <c r="I205" s="263"/>
      <c r="J205" s="263"/>
      <c r="K205" s="263"/>
      <c r="L205" s="263"/>
      <c r="M205" s="263"/>
      <c r="N205" s="263"/>
      <c r="O205" s="263"/>
      <c r="P205" s="263"/>
      <c r="Q205" s="263"/>
      <c r="R205" s="263"/>
      <c r="S205" s="263"/>
      <c r="CM205" s="210"/>
      <c r="CN205" s="213" t="s">
        <v>1615</v>
      </c>
      <c r="CO205" s="213" t="s">
        <v>878</v>
      </c>
      <c r="CP205" s="213" t="s">
        <v>1543</v>
      </c>
      <c r="CQ205" s="213" t="s">
        <v>1616</v>
      </c>
      <c r="CR205" s="213" t="s">
        <v>1616</v>
      </c>
      <c r="CS205" s="213" t="s">
        <v>881</v>
      </c>
      <c r="CT205" s="213" t="s">
        <v>1545</v>
      </c>
      <c r="CU205" s="213" t="s">
        <v>883</v>
      </c>
      <c r="CV205" s="214" t="s">
        <v>884</v>
      </c>
      <c r="CX205" s="268"/>
    </row>
    <row r="206" spans="1:102" ht="21" customHeight="1">
      <c r="A206" s="263"/>
      <c r="B206" s="275" t="s">
        <v>465</v>
      </c>
      <c r="C206" s="272" t="s">
        <v>1617</v>
      </c>
      <c r="D206" s="263"/>
      <c r="E206" s="263"/>
      <c r="F206" s="263"/>
      <c r="G206" s="263"/>
      <c r="H206" s="263"/>
      <c r="I206" s="263"/>
      <c r="J206" s="263"/>
      <c r="K206" s="263"/>
      <c r="L206" s="263"/>
      <c r="M206" s="263"/>
      <c r="N206" s="263"/>
      <c r="O206" s="263"/>
      <c r="P206" s="263"/>
      <c r="Q206" s="263"/>
      <c r="R206" s="263"/>
      <c r="S206" s="263"/>
      <c r="CM206" s="210"/>
      <c r="CN206" s="213" t="s">
        <v>1618</v>
      </c>
      <c r="CO206" s="213" t="s">
        <v>869</v>
      </c>
      <c r="CP206" s="213" t="s">
        <v>879</v>
      </c>
      <c r="CQ206" s="213" t="s">
        <v>1619</v>
      </c>
      <c r="CR206" s="213" t="s">
        <v>1619</v>
      </c>
      <c r="CS206" s="213" t="s">
        <v>1620</v>
      </c>
      <c r="CT206" s="213" t="s">
        <v>1621</v>
      </c>
      <c r="CU206" s="213" t="s">
        <v>1622</v>
      </c>
      <c r="CV206" s="214" t="s">
        <v>1623</v>
      </c>
      <c r="CX206" s="268"/>
    </row>
    <row r="207" spans="1:102" ht="21" customHeight="1">
      <c r="A207" s="263"/>
      <c r="B207" s="275" t="s">
        <v>466</v>
      </c>
      <c r="C207" s="272" t="s">
        <v>1624</v>
      </c>
      <c r="D207" s="263"/>
      <c r="E207" s="263"/>
      <c r="F207" s="263"/>
      <c r="G207" s="263"/>
      <c r="H207" s="263"/>
      <c r="I207" s="263"/>
      <c r="J207" s="263"/>
      <c r="K207" s="263"/>
      <c r="L207" s="263"/>
      <c r="M207" s="263"/>
      <c r="N207" s="263"/>
      <c r="O207" s="263"/>
      <c r="P207" s="263"/>
      <c r="Q207" s="263"/>
      <c r="R207" s="263"/>
      <c r="S207" s="263"/>
      <c r="CM207" s="210"/>
      <c r="CN207" s="213" t="s">
        <v>1625</v>
      </c>
      <c r="CO207" s="213" t="s">
        <v>869</v>
      </c>
      <c r="CP207" s="213" t="s">
        <v>879</v>
      </c>
      <c r="CQ207" s="213" t="s">
        <v>1626</v>
      </c>
      <c r="CR207" s="213" t="s">
        <v>1627</v>
      </c>
      <c r="CS207" s="213" t="s">
        <v>1620</v>
      </c>
      <c r="CT207" s="213" t="s">
        <v>1628</v>
      </c>
      <c r="CU207" s="213" t="s">
        <v>883</v>
      </c>
      <c r="CV207" s="214" t="s">
        <v>884</v>
      </c>
      <c r="CX207" s="268"/>
    </row>
    <row r="208" spans="1:102" ht="21" customHeight="1">
      <c r="A208" s="263"/>
      <c r="B208" s="275" t="s">
        <v>467</v>
      </c>
      <c r="C208" s="272" t="s">
        <v>1629</v>
      </c>
      <c r="D208" s="263"/>
      <c r="E208" s="263"/>
      <c r="F208" s="263"/>
      <c r="G208" s="263"/>
      <c r="H208" s="263"/>
      <c r="I208" s="263"/>
      <c r="J208" s="263"/>
      <c r="K208" s="263"/>
      <c r="L208" s="263"/>
      <c r="M208" s="263"/>
      <c r="N208" s="263"/>
      <c r="O208" s="263"/>
      <c r="P208" s="263"/>
      <c r="Q208" s="263"/>
      <c r="R208" s="263"/>
      <c r="S208" s="263"/>
      <c r="CM208" s="210"/>
      <c r="CN208" s="213" t="s">
        <v>1630</v>
      </c>
      <c r="CO208" s="213" t="s">
        <v>869</v>
      </c>
      <c r="CP208" s="213" t="s">
        <v>879</v>
      </c>
      <c r="CQ208" s="213" t="s">
        <v>1631</v>
      </c>
      <c r="CR208" s="213" t="s">
        <v>1632</v>
      </c>
      <c r="CS208" s="213" t="s">
        <v>1620</v>
      </c>
      <c r="CT208" s="213" t="s">
        <v>1628</v>
      </c>
      <c r="CU208" s="213" t="s">
        <v>883</v>
      </c>
      <c r="CV208" s="214" t="s">
        <v>884</v>
      </c>
      <c r="CX208" s="268"/>
    </row>
    <row r="209" spans="1:102" ht="21" customHeight="1">
      <c r="A209" s="263"/>
      <c r="B209" s="275" t="s">
        <v>468</v>
      </c>
      <c r="C209" s="272" t="s">
        <v>1633</v>
      </c>
      <c r="D209" s="263"/>
      <c r="E209" s="263"/>
      <c r="F209" s="263"/>
      <c r="G209" s="263"/>
      <c r="H209" s="263"/>
      <c r="I209" s="263"/>
      <c r="J209" s="263"/>
      <c r="K209" s="263"/>
      <c r="L209" s="263"/>
      <c r="M209" s="263"/>
      <c r="N209" s="263"/>
      <c r="O209" s="263"/>
      <c r="P209" s="263"/>
      <c r="Q209" s="263"/>
      <c r="R209" s="263"/>
      <c r="S209" s="263"/>
      <c r="CM209" s="210"/>
      <c r="CN209" s="213" t="s">
        <v>1634</v>
      </c>
      <c r="CO209" s="213" t="s">
        <v>869</v>
      </c>
      <c r="CP209" s="213" t="s">
        <v>879</v>
      </c>
      <c r="CQ209" s="213" t="s">
        <v>1635</v>
      </c>
      <c r="CR209" s="213" t="s">
        <v>1635</v>
      </c>
      <c r="CS209" s="213" t="s">
        <v>1620</v>
      </c>
      <c r="CT209" s="213" t="s">
        <v>1628</v>
      </c>
      <c r="CU209" s="213" t="s">
        <v>883</v>
      </c>
      <c r="CV209" s="214" t="s">
        <v>884</v>
      </c>
      <c r="CX209" s="268"/>
    </row>
    <row r="210" spans="1:102" ht="21" customHeight="1">
      <c r="A210" s="263"/>
      <c r="B210" s="275" t="s">
        <v>470</v>
      </c>
      <c r="C210" s="272" t="s">
        <v>1636</v>
      </c>
      <c r="D210" s="263"/>
      <c r="E210" s="263"/>
      <c r="F210" s="263"/>
      <c r="G210" s="263"/>
      <c r="H210" s="263"/>
      <c r="I210" s="263"/>
      <c r="J210" s="263"/>
      <c r="K210" s="263"/>
      <c r="L210" s="263"/>
      <c r="M210" s="263"/>
      <c r="N210" s="263"/>
      <c r="O210" s="263"/>
      <c r="P210" s="263"/>
      <c r="Q210" s="263"/>
      <c r="R210" s="263"/>
      <c r="S210" s="263"/>
      <c r="CM210" s="210"/>
      <c r="CN210" s="213" t="s">
        <v>1637</v>
      </c>
      <c r="CO210" s="213" t="s">
        <v>869</v>
      </c>
      <c r="CP210" s="213" t="s">
        <v>879</v>
      </c>
      <c r="CQ210" s="213" t="s">
        <v>1638</v>
      </c>
      <c r="CR210" s="213" t="s">
        <v>1638</v>
      </c>
      <c r="CS210" s="213" t="s">
        <v>1620</v>
      </c>
      <c r="CT210" s="213" t="s">
        <v>1621</v>
      </c>
      <c r="CU210" s="213" t="s">
        <v>1622</v>
      </c>
      <c r="CV210" s="214" t="s">
        <v>1623</v>
      </c>
      <c r="CX210" s="268"/>
    </row>
    <row r="211" spans="1:102" ht="21" customHeight="1">
      <c r="A211" s="263"/>
      <c r="B211" s="275"/>
      <c r="C211" s="272" t="s">
        <v>1639</v>
      </c>
      <c r="D211" s="263"/>
      <c r="E211" s="263"/>
      <c r="F211" s="263"/>
      <c r="G211" s="263"/>
      <c r="H211" s="263"/>
      <c r="I211" s="263"/>
      <c r="J211" s="263"/>
      <c r="K211" s="263"/>
      <c r="L211" s="263"/>
      <c r="M211" s="263"/>
      <c r="N211" s="263"/>
      <c r="O211" s="263"/>
      <c r="P211" s="263"/>
      <c r="Q211" s="263"/>
      <c r="R211" s="263"/>
      <c r="S211" s="263"/>
      <c r="CM211" s="210"/>
      <c r="CN211" s="213" t="s">
        <v>1640</v>
      </c>
      <c r="CO211" s="213" t="s">
        <v>869</v>
      </c>
      <c r="CP211" s="213" t="s">
        <v>879</v>
      </c>
      <c r="CQ211" s="213" t="s">
        <v>1641</v>
      </c>
      <c r="CR211" s="213" t="s">
        <v>1641</v>
      </c>
      <c r="CS211" s="213" t="s">
        <v>1620</v>
      </c>
      <c r="CT211" s="213" t="s">
        <v>1621</v>
      </c>
      <c r="CU211" s="213" t="s">
        <v>1622</v>
      </c>
      <c r="CV211" s="214" t="s">
        <v>1623</v>
      </c>
      <c r="CX211" s="268"/>
    </row>
    <row r="212" spans="1:102" ht="21" customHeight="1">
      <c r="A212" s="263"/>
      <c r="B212" s="275" t="s">
        <v>1642</v>
      </c>
      <c r="C212" s="272" t="s">
        <v>1643</v>
      </c>
      <c r="D212" s="263"/>
      <c r="E212" s="263"/>
      <c r="F212" s="263"/>
      <c r="G212" s="263"/>
      <c r="H212" s="263"/>
      <c r="I212" s="263"/>
      <c r="J212" s="263"/>
      <c r="K212" s="263"/>
      <c r="L212" s="263"/>
      <c r="M212" s="263"/>
      <c r="N212" s="263"/>
      <c r="O212" s="263"/>
      <c r="P212" s="263"/>
      <c r="Q212" s="263"/>
      <c r="R212" s="263"/>
      <c r="S212" s="263"/>
      <c r="CM212" s="210"/>
      <c r="CN212" s="213" t="s">
        <v>1644</v>
      </c>
      <c r="CO212" s="213" t="s">
        <v>869</v>
      </c>
      <c r="CP212" s="213" t="s">
        <v>879</v>
      </c>
      <c r="CQ212" s="213" t="s">
        <v>1645</v>
      </c>
      <c r="CR212" s="213" t="s">
        <v>1645</v>
      </c>
      <c r="CS212" s="213" t="s">
        <v>1620</v>
      </c>
      <c r="CT212" s="213" t="s">
        <v>1621</v>
      </c>
      <c r="CU212" s="213" t="s">
        <v>1622</v>
      </c>
      <c r="CV212" s="214" t="s">
        <v>1623</v>
      </c>
      <c r="CX212" s="268"/>
    </row>
    <row r="213" spans="1:102" ht="21" customHeight="1">
      <c r="A213" s="263"/>
      <c r="B213" s="272"/>
      <c r="C213" s="272"/>
      <c r="D213" s="263"/>
      <c r="E213" s="263"/>
      <c r="F213" s="263"/>
      <c r="G213" s="263"/>
      <c r="H213" s="263"/>
      <c r="I213" s="263"/>
      <c r="J213" s="263"/>
      <c r="K213" s="263"/>
      <c r="L213" s="263"/>
      <c r="M213" s="263"/>
      <c r="N213" s="263"/>
      <c r="O213" s="263"/>
      <c r="P213" s="263"/>
      <c r="Q213" s="263"/>
      <c r="R213" s="263"/>
      <c r="S213" s="263"/>
      <c r="CM213" s="210"/>
      <c r="CN213" s="213" t="s">
        <v>1646</v>
      </c>
      <c r="CO213" s="213" t="s">
        <v>869</v>
      </c>
      <c r="CP213" s="213" t="s">
        <v>879</v>
      </c>
      <c r="CQ213" s="213" t="s">
        <v>1647</v>
      </c>
      <c r="CR213" s="213" t="s">
        <v>1647</v>
      </c>
      <c r="CS213" s="213" t="s">
        <v>1620</v>
      </c>
      <c r="CT213" s="213" t="s">
        <v>1621</v>
      </c>
      <c r="CU213" s="213" t="s">
        <v>1622</v>
      </c>
      <c r="CV213" s="214" t="s">
        <v>1623</v>
      </c>
      <c r="CX213" s="268"/>
    </row>
    <row r="214" spans="1:102" ht="21" customHeight="1">
      <c r="A214" s="263"/>
      <c r="B214" s="282" t="s">
        <v>1648</v>
      </c>
      <c r="C214" s="281"/>
      <c r="D214" s="263"/>
      <c r="E214" s="263"/>
      <c r="F214" s="263"/>
      <c r="G214" s="263"/>
      <c r="H214" s="263"/>
      <c r="I214" s="263"/>
      <c r="J214" s="263"/>
      <c r="K214" s="263"/>
      <c r="L214" s="263"/>
      <c r="M214" s="263"/>
      <c r="N214" s="263"/>
      <c r="O214" s="263"/>
      <c r="P214" s="263"/>
      <c r="Q214" s="263"/>
      <c r="R214" s="263"/>
      <c r="S214" s="263"/>
      <c r="CM214" s="210"/>
      <c r="CN214" s="213" t="s">
        <v>1649</v>
      </c>
      <c r="CO214" s="213" t="s">
        <v>869</v>
      </c>
      <c r="CP214" s="213" t="s">
        <v>879</v>
      </c>
      <c r="CQ214" s="213" t="s">
        <v>1650</v>
      </c>
      <c r="CR214" s="213" t="s">
        <v>1650</v>
      </c>
      <c r="CS214" s="213" t="s">
        <v>1620</v>
      </c>
      <c r="CT214" s="213" t="s">
        <v>1621</v>
      </c>
      <c r="CU214" s="213" t="s">
        <v>1622</v>
      </c>
      <c r="CV214" s="214" t="s">
        <v>1623</v>
      </c>
      <c r="CX214" s="268"/>
    </row>
    <row r="215" spans="1:102" ht="21" customHeight="1">
      <c r="A215" s="263"/>
      <c r="B215" s="275" t="s">
        <v>1651</v>
      </c>
      <c r="C215" s="272" t="s">
        <v>1652</v>
      </c>
      <c r="D215" s="263"/>
      <c r="E215" s="263"/>
      <c r="F215" s="263"/>
      <c r="G215" s="263"/>
      <c r="H215" s="263"/>
      <c r="I215" s="263"/>
      <c r="J215" s="263"/>
      <c r="K215" s="263"/>
      <c r="L215" s="263"/>
      <c r="M215" s="263"/>
      <c r="N215" s="263"/>
      <c r="O215" s="263"/>
      <c r="P215" s="263"/>
      <c r="Q215" s="263"/>
      <c r="R215" s="263"/>
      <c r="S215" s="263"/>
      <c r="CM215" s="210"/>
      <c r="CN215" s="213" t="s">
        <v>1653</v>
      </c>
      <c r="CO215" s="213" t="s">
        <v>869</v>
      </c>
      <c r="CP215" s="213" t="s">
        <v>879</v>
      </c>
      <c r="CQ215" s="213" t="s">
        <v>1654</v>
      </c>
      <c r="CR215" s="213" t="s">
        <v>1654</v>
      </c>
      <c r="CS215" s="213" t="s">
        <v>1620</v>
      </c>
      <c r="CT215" s="213" t="s">
        <v>1628</v>
      </c>
      <c r="CU215" s="213" t="s">
        <v>883</v>
      </c>
      <c r="CV215" s="214" t="s">
        <v>884</v>
      </c>
      <c r="CX215" s="268"/>
    </row>
    <row r="216" spans="1:102" ht="21" customHeight="1">
      <c r="A216" s="263"/>
      <c r="B216" s="275" t="s">
        <v>1655</v>
      </c>
      <c r="C216" s="272" t="s">
        <v>1656</v>
      </c>
      <c r="D216" s="263"/>
      <c r="E216" s="263"/>
      <c r="F216" s="263"/>
      <c r="G216" s="263"/>
      <c r="H216" s="263"/>
      <c r="I216" s="263"/>
      <c r="J216" s="263"/>
      <c r="K216" s="263"/>
      <c r="L216" s="263"/>
      <c r="M216" s="263"/>
      <c r="N216" s="263"/>
      <c r="O216" s="263"/>
      <c r="P216" s="263"/>
      <c r="Q216" s="263"/>
      <c r="R216" s="263"/>
      <c r="S216" s="263"/>
      <c r="CM216" s="210"/>
      <c r="CN216" s="213" t="s">
        <v>1657</v>
      </c>
      <c r="CO216" s="213" t="s">
        <v>869</v>
      </c>
      <c r="CP216" s="213" t="s">
        <v>879</v>
      </c>
      <c r="CQ216" s="213" t="s">
        <v>1658</v>
      </c>
      <c r="CR216" s="213" t="s">
        <v>1658</v>
      </c>
      <c r="CS216" s="213" t="s">
        <v>1620</v>
      </c>
      <c r="CT216" s="213" t="s">
        <v>1621</v>
      </c>
      <c r="CU216" s="213" t="s">
        <v>1622</v>
      </c>
      <c r="CV216" s="214" t="s">
        <v>1623</v>
      </c>
      <c r="CX216" s="268"/>
    </row>
    <row r="217" spans="1:102" ht="21" customHeight="1">
      <c r="A217" s="263"/>
      <c r="B217" s="275" t="s">
        <v>1659</v>
      </c>
      <c r="C217" s="272" t="s">
        <v>1660</v>
      </c>
      <c r="D217" s="263"/>
      <c r="E217" s="263"/>
      <c r="F217" s="263"/>
      <c r="G217" s="263"/>
      <c r="H217" s="263"/>
      <c r="I217" s="263"/>
      <c r="J217" s="263"/>
      <c r="K217" s="263"/>
      <c r="L217" s="263"/>
      <c r="M217" s="263"/>
      <c r="N217" s="263"/>
      <c r="O217" s="263"/>
      <c r="P217" s="263"/>
      <c r="Q217" s="263"/>
      <c r="R217" s="263"/>
      <c r="S217" s="263"/>
      <c r="CM217" s="210"/>
      <c r="CN217" s="213" t="s">
        <v>1661</v>
      </c>
      <c r="CO217" s="213" t="s">
        <v>869</v>
      </c>
      <c r="CP217" s="213" t="s">
        <v>879</v>
      </c>
      <c r="CQ217" s="213" t="s">
        <v>1662</v>
      </c>
      <c r="CR217" s="213" t="s">
        <v>1662</v>
      </c>
      <c r="CS217" s="213" t="s">
        <v>1620</v>
      </c>
      <c r="CT217" s="213" t="s">
        <v>1621</v>
      </c>
      <c r="CU217" s="213" t="s">
        <v>1622</v>
      </c>
      <c r="CV217" s="214" t="s">
        <v>1623</v>
      </c>
      <c r="CX217" s="268"/>
    </row>
    <row r="218" spans="1:102" ht="21" customHeight="1">
      <c r="A218" s="263"/>
      <c r="B218" s="279" t="s">
        <v>1663</v>
      </c>
      <c r="C218" s="272" t="s">
        <v>1664</v>
      </c>
      <c r="D218" s="263"/>
      <c r="E218" s="263"/>
      <c r="F218" s="263"/>
      <c r="G218" s="263"/>
      <c r="H218" s="263"/>
      <c r="I218" s="263"/>
      <c r="J218" s="263"/>
      <c r="K218" s="263"/>
      <c r="L218" s="263"/>
      <c r="M218" s="263"/>
      <c r="N218" s="263"/>
      <c r="O218" s="263"/>
      <c r="P218" s="263"/>
      <c r="Q218" s="263"/>
      <c r="R218" s="263"/>
      <c r="S218" s="263"/>
      <c r="CM218" s="210"/>
      <c r="CN218" s="213" t="s">
        <v>1665</v>
      </c>
      <c r="CO218" s="213" t="s">
        <v>869</v>
      </c>
      <c r="CP218" s="213" t="s">
        <v>879</v>
      </c>
      <c r="CQ218" s="213" t="s">
        <v>1666</v>
      </c>
      <c r="CR218" s="213" t="s">
        <v>1666</v>
      </c>
      <c r="CS218" s="213" t="s">
        <v>1620</v>
      </c>
      <c r="CT218" s="213" t="s">
        <v>1621</v>
      </c>
      <c r="CU218" s="213" t="s">
        <v>1622</v>
      </c>
      <c r="CV218" s="214" t="s">
        <v>1623</v>
      </c>
      <c r="CX218" s="268"/>
    </row>
    <row r="219" spans="1:102" ht="21" customHeight="1">
      <c r="A219" s="263"/>
      <c r="B219" s="275" t="s">
        <v>1667</v>
      </c>
      <c r="C219" s="272" t="s">
        <v>1668</v>
      </c>
      <c r="D219" s="263"/>
      <c r="E219" s="263"/>
      <c r="F219" s="263"/>
      <c r="G219" s="263"/>
      <c r="H219" s="263"/>
      <c r="I219" s="263"/>
      <c r="J219" s="263"/>
      <c r="K219" s="263"/>
      <c r="L219" s="263"/>
      <c r="M219" s="263"/>
      <c r="N219" s="263"/>
      <c r="O219" s="263"/>
      <c r="P219" s="263"/>
      <c r="Q219" s="263"/>
      <c r="R219" s="263"/>
      <c r="S219" s="263"/>
      <c r="CM219" s="210"/>
      <c r="CN219" s="213" t="s">
        <v>1669</v>
      </c>
      <c r="CO219" s="213" t="s">
        <v>869</v>
      </c>
      <c r="CP219" s="213" t="s">
        <v>879</v>
      </c>
      <c r="CQ219" s="213" t="s">
        <v>1670</v>
      </c>
      <c r="CR219" s="213" t="s">
        <v>1670</v>
      </c>
      <c r="CS219" s="213" t="s">
        <v>1620</v>
      </c>
      <c r="CT219" s="213" t="s">
        <v>1621</v>
      </c>
      <c r="CU219" s="213" t="s">
        <v>1622</v>
      </c>
      <c r="CV219" s="214" t="s">
        <v>1623</v>
      </c>
      <c r="CX219" s="268"/>
    </row>
    <row r="220" spans="1:102" ht="21" customHeight="1">
      <c r="A220" s="263"/>
      <c r="B220" s="275" t="s">
        <v>1671</v>
      </c>
      <c r="C220" s="272" t="s">
        <v>1672</v>
      </c>
      <c r="D220" s="263"/>
      <c r="E220" s="263"/>
      <c r="F220" s="263"/>
      <c r="G220" s="263"/>
      <c r="H220" s="263"/>
      <c r="I220" s="263"/>
      <c r="J220" s="263"/>
      <c r="K220" s="263"/>
      <c r="L220" s="263"/>
      <c r="M220" s="263"/>
      <c r="N220" s="263"/>
      <c r="O220" s="263"/>
      <c r="P220" s="263"/>
      <c r="Q220" s="263"/>
      <c r="R220" s="263"/>
      <c r="S220" s="263"/>
      <c r="CM220" s="210"/>
      <c r="CN220" s="213" t="s">
        <v>1673</v>
      </c>
      <c r="CO220" s="213" t="s">
        <v>869</v>
      </c>
      <c r="CP220" s="213" t="s">
        <v>879</v>
      </c>
      <c r="CQ220" s="213" t="s">
        <v>1674</v>
      </c>
      <c r="CR220" s="213" t="s">
        <v>1674</v>
      </c>
      <c r="CS220" s="213" t="s">
        <v>1620</v>
      </c>
      <c r="CT220" s="213" t="s">
        <v>1628</v>
      </c>
      <c r="CU220" s="213" t="s">
        <v>883</v>
      </c>
      <c r="CV220" s="214" t="s">
        <v>884</v>
      </c>
      <c r="CX220" s="268"/>
    </row>
    <row r="221" spans="1:102" ht="21" customHeight="1">
      <c r="A221" s="263"/>
      <c r="B221" s="283"/>
      <c r="C221" s="272"/>
      <c r="D221" s="263"/>
      <c r="E221" s="263"/>
      <c r="F221" s="263"/>
      <c r="G221" s="263"/>
      <c r="H221" s="263"/>
      <c r="I221" s="263"/>
      <c r="J221" s="263"/>
      <c r="K221" s="263"/>
      <c r="L221" s="263"/>
      <c r="M221" s="263"/>
      <c r="N221" s="263"/>
      <c r="O221" s="263"/>
      <c r="P221" s="263"/>
      <c r="Q221" s="263"/>
      <c r="R221" s="263"/>
      <c r="S221" s="263"/>
      <c r="CM221" s="210"/>
      <c r="CN221" s="213" t="s">
        <v>1675</v>
      </c>
      <c r="CO221" s="213" t="s">
        <v>869</v>
      </c>
      <c r="CP221" s="213" t="s">
        <v>879</v>
      </c>
      <c r="CQ221" s="213" t="s">
        <v>1676</v>
      </c>
      <c r="CR221" s="213" t="s">
        <v>1676</v>
      </c>
      <c r="CS221" s="213" t="s">
        <v>971</v>
      </c>
      <c r="CT221" s="213" t="s">
        <v>972</v>
      </c>
      <c r="CU221" s="213" t="s">
        <v>883</v>
      </c>
      <c r="CV221" s="214" t="s">
        <v>973</v>
      </c>
      <c r="CX221" s="268"/>
    </row>
    <row r="222" spans="1:102" ht="21" customHeight="1">
      <c r="A222" s="263"/>
      <c r="B222" s="282" t="s">
        <v>1677</v>
      </c>
      <c r="C222" s="281"/>
      <c r="D222" s="263"/>
      <c r="E222" s="263"/>
      <c r="F222" s="263"/>
      <c r="G222" s="263"/>
      <c r="H222" s="263"/>
      <c r="I222" s="263"/>
      <c r="J222" s="263"/>
      <c r="K222" s="263"/>
      <c r="L222" s="263"/>
      <c r="M222" s="263"/>
      <c r="N222" s="263"/>
      <c r="O222" s="263"/>
      <c r="P222" s="263"/>
      <c r="Q222" s="263"/>
      <c r="R222" s="263"/>
      <c r="S222" s="263"/>
      <c r="CM222" s="210"/>
      <c r="CN222" s="213" t="s">
        <v>1678</v>
      </c>
      <c r="CO222" s="213" t="s">
        <v>869</v>
      </c>
      <c r="CP222" s="213" t="s">
        <v>879</v>
      </c>
      <c r="CQ222" s="213" t="s">
        <v>1679</v>
      </c>
      <c r="CR222" s="213" t="s">
        <v>1679</v>
      </c>
      <c r="CS222" s="213" t="s">
        <v>1620</v>
      </c>
      <c r="CT222" s="213" t="s">
        <v>1621</v>
      </c>
      <c r="CU222" s="213" t="s">
        <v>1622</v>
      </c>
      <c r="CV222" s="214" t="s">
        <v>1623</v>
      </c>
      <c r="CX222" s="268"/>
    </row>
    <row r="223" spans="1:102" ht="21" customHeight="1">
      <c r="A223" s="263"/>
      <c r="B223" s="275" t="s">
        <v>1680</v>
      </c>
      <c r="C223" s="272" t="s">
        <v>1681</v>
      </c>
      <c r="D223" s="263"/>
      <c r="E223" s="263"/>
      <c r="F223" s="263"/>
      <c r="G223" s="263"/>
      <c r="H223" s="263"/>
      <c r="I223" s="263"/>
      <c r="J223" s="263"/>
      <c r="K223" s="263"/>
      <c r="L223" s="263"/>
      <c r="M223" s="263"/>
      <c r="N223" s="263"/>
      <c r="O223" s="263"/>
      <c r="P223" s="263"/>
      <c r="Q223" s="263"/>
      <c r="R223" s="263"/>
      <c r="S223" s="263"/>
      <c r="CM223" s="210"/>
      <c r="CN223" s="213" t="s">
        <v>1682</v>
      </c>
      <c r="CO223" s="213" t="s">
        <v>869</v>
      </c>
      <c r="CP223" s="213" t="s">
        <v>879</v>
      </c>
      <c r="CQ223" s="213" t="s">
        <v>1683</v>
      </c>
      <c r="CR223" s="213" t="s">
        <v>1683</v>
      </c>
      <c r="CS223" s="213" t="s">
        <v>1620</v>
      </c>
      <c r="CT223" s="213" t="s">
        <v>1621</v>
      </c>
      <c r="CU223" s="213" t="s">
        <v>1622</v>
      </c>
      <c r="CV223" s="214" t="s">
        <v>1623</v>
      </c>
      <c r="CX223" s="268"/>
    </row>
    <row r="224" spans="1:102" ht="21" customHeight="1">
      <c r="A224" s="263"/>
      <c r="B224" s="275" t="s">
        <v>1684</v>
      </c>
      <c r="C224" s="272" t="s">
        <v>1685</v>
      </c>
      <c r="D224" s="263"/>
      <c r="E224" s="263"/>
      <c r="F224" s="263"/>
      <c r="G224" s="263"/>
      <c r="H224" s="263"/>
      <c r="I224" s="263"/>
      <c r="J224" s="263"/>
      <c r="K224" s="263"/>
      <c r="L224" s="263"/>
      <c r="M224" s="263"/>
      <c r="N224" s="263"/>
      <c r="O224" s="263"/>
      <c r="P224" s="263"/>
      <c r="Q224" s="263"/>
      <c r="R224" s="263"/>
      <c r="S224" s="263"/>
      <c r="CM224" s="210"/>
      <c r="CN224" s="213" t="s">
        <v>1686</v>
      </c>
      <c r="CO224" s="213" t="s">
        <v>869</v>
      </c>
      <c r="CP224" s="213" t="s">
        <v>879</v>
      </c>
      <c r="CQ224" s="213" t="s">
        <v>1687</v>
      </c>
      <c r="CR224" s="213" t="s">
        <v>1687</v>
      </c>
      <c r="CS224" s="213" t="s">
        <v>1620</v>
      </c>
      <c r="CT224" s="213" t="s">
        <v>1621</v>
      </c>
      <c r="CU224" s="213" t="s">
        <v>1622</v>
      </c>
      <c r="CV224" s="214" t="s">
        <v>1623</v>
      </c>
      <c r="CX224" s="268"/>
    </row>
    <row r="225" spans="1:102" ht="21" customHeight="1">
      <c r="A225" s="263"/>
      <c r="B225" s="275"/>
      <c r="C225" s="272" t="s">
        <v>1688</v>
      </c>
      <c r="D225" s="263"/>
      <c r="E225" s="263"/>
      <c r="F225" s="263"/>
      <c r="G225" s="263"/>
      <c r="H225" s="263"/>
      <c r="I225" s="263"/>
      <c r="J225" s="263"/>
      <c r="K225" s="263"/>
      <c r="L225" s="263"/>
      <c r="M225" s="263"/>
      <c r="N225" s="263"/>
      <c r="O225" s="263"/>
      <c r="P225" s="263"/>
      <c r="Q225" s="263"/>
      <c r="R225" s="263"/>
      <c r="S225" s="263"/>
      <c r="CM225" s="210"/>
      <c r="CN225" s="213" t="s">
        <v>1689</v>
      </c>
      <c r="CO225" s="213" t="s">
        <v>869</v>
      </c>
      <c r="CP225" s="213" t="s">
        <v>879</v>
      </c>
      <c r="CQ225" s="213" t="s">
        <v>1690</v>
      </c>
      <c r="CR225" s="213" t="s">
        <v>1690</v>
      </c>
      <c r="CS225" s="213" t="s">
        <v>1620</v>
      </c>
      <c r="CT225" s="213" t="s">
        <v>1621</v>
      </c>
      <c r="CU225" s="213" t="s">
        <v>1622</v>
      </c>
      <c r="CV225" s="214" t="s">
        <v>1623</v>
      </c>
      <c r="CX225" s="268"/>
    </row>
    <row r="226" spans="1:102" ht="21" customHeight="1">
      <c r="A226" s="263"/>
      <c r="B226" s="275" t="s">
        <v>1691</v>
      </c>
      <c r="C226" s="272" t="s">
        <v>1692</v>
      </c>
      <c r="D226" s="263"/>
      <c r="E226" s="263"/>
      <c r="F226" s="263"/>
      <c r="G226" s="263"/>
      <c r="H226" s="263"/>
      <c r="I226" s="263"/>
      <c r="J226" s="263"/>
      <c r="K226" s="263"/>
      <c r="L226" s="263"/>
      <c r="M226" s="263"/>
      <c r="N226" s="263"/>
      <c r="O226" s="263"/>
      <c r="P226" s="263"/>
      <c r="Q226" s="263"/>
      <c r="R226" s="263"/>
      <c r="S226" s="263"/>
      <c r="CM226" s="210"/>
      <c r="CN226" s="213" t="s">
        <v>1693</v>
      </c>
      <c r="CO226" s="213" t="s">
        <v>869</v>
      </c>
      <c r="CP226" s="213" t="s">
        <v>879</v>
      </c>
      <c r="CQ226" s="213" t="s">
        <v>1694</v>
      </c>
      <c r="CR226" s="213" t="s">
        <v>1694</v>
      </c>
      <c r="CS226" s="213" t="s">
        <v>1620</v>
      </c>
      <c r="CT226" s="213" t="s">
        <v>1621</v>
      </c>
      <c r="CU226" s="213" t="s">
        <v>1622</v>
      </c>
      <c r="CV226" s="214" t="s">
        <v>1623</v>
      </c>
      <c r="CX226" s="212">
        <v>1</v>
      </c>
    </row>
    <row r="227" spans="1:102" ht="21" customHeight="1">
      <c r="A227" s="263"/>
      <c r="B227" s="275" t="s">
        <v>1695</v>
      </c>
      <c r="C227" s="272" t="s">
        <v>1696</v>
      </c>
      <c r="D227" s="263"/>
      <c r="E227" s="263"/>
      <c r="F227" s="263"/>
      <c r="G227" s="263"/>
      <c r="H227" s="263"/>
      <c r="I227" s="263"/>
      <c r="J227" s="263"/>
      <c r="K227" s="263"/>
      <c r="L227" s="263"/>
      <c r="M227" s="263"/>
      <c r="N227" s="263"/>
      <c r="O227" s="263"/>
      <c r="P227" s="263"/>
      <c r="Q227" s="263"/>
      <c r="R227" s="263"/>
      <c r="S227" s="263"/>
      <c r="CM227" s="210"/>
      <c r="CN227" s="213" t="s">
        <v>1697</v>
      </c>
      <c r="CO227" s="213" t="s">
        <v>869</v>
      </c>
      <c r="CP227" s="213" t="s">
        <v>879</v>
      </c>
      <c r="CQ227" s="213" t="s">
        <v>1698</v>
      </c>
      <c r="CR227" s="213" t="s">
        <v>1698</v>
      </c>
      <c r="CS227" s="213" t="s">
        <v>1620</v>
      </c>
      <c r="CT227" s="213" t="s">
        <v>1621</v>
      </c>
      <c r="CU227" s="213" t="s">
        <v>1622</v>
      </c>
      <c r="CV227" s="214" t="s">
        <v>1623</v>
      </c>
      <c r="CX227" s="212">
        <v>1</v>
      </c>
    </row>
    <row r="228" spans="1:102" ht="21" customHeight="1">
      <c r="A228" s="263"/>
      <c r="B228" s="272"/>
      <c r="C228" s="272"/>
      <c r="D228" s="263"/>
      <c r="E228" s="263"/>
      <c r="F228" s="263"/>
      <c r="G228" s="263"/>
      <c r="H228" s="263"/>
      <c r="I228" s="263"/>
      <c r="J228" s="263"/>
      <c r="K228" s="263"/>
      <c r="L228" s="263"/>
      <c r="M228" s="263"/>
      <c r="N228" s="263"/>
      <c r="O228" s="263"/>
      <c r="P228" s="263"/>
      <c r="Q228" s="263"/>
      <c r="R228" s="263"/>
      <c r="S228" s="263"/>
      <c r="CM228" s="210"/>
      <c r="CN228" s="213" t="s">
        <v>1699</v>
      </c>
      <c r="CO228" s="213" t="s">
        <v>869</v>
      </c>
      <c r="CP228" s="213" t="s">
        <v>879</v>
      </c>
      <c r="CQ228" s="213" t="s">
        <v>1700</v>
      </c>
      <c r="CR228" s="213" t="s">
        <v>1700</v>
      </c>
      <c r="CS228" s="213" t="s">
        <v>1620</v>
      </c>
      <c r="CT228" s="213" t="s">
        <v>1621</v>
      </c>
      <c r="CU228" s="213" t="s">
        <v>1622</v>
      </c>
      <c r="CV228" s="214" t="s">
        <v>1623</v>
      </c>
      <c r="CX228" s="212">
        <v>1</v>
      </c>
    </row>
    <row r="229" spans="1:102" ht="21" customHeight="1">
      <c r="A229" s="263"/>
      <c r="B229" s="280" t="s">
        <v>1701</v>
      </c>
      <c r="C229" s="278"/>
      <c r="D229" s="263"/>
      <c r="E229" s="263"/>
      <c r="F229" s="263"/>
      <c r="G229" s="263"/>
      <c r="H229" s="263"/>
      <c r="I229" s="263"/>
      <c r="J229" s="263"/>
      <c r="K229" s="263"/>
      <c r="L229" s="263"/>
      <c r="M229" s="263"/>
      <c r="N229" s="263"/>
      <c r="O229" s="263"/>
      <c r="P229" s="263"/>
      <c r="Q229" s="263"/>
      <c r="R229" s="263"/>
      <c r="S229" s="263"/>
      <c r="CM229" s="210"/>
      <c r="CN229" s="213" t="s">
        <v>1702</v>
      </c>
      <c r="CO229" s="213" t="s">
        <v>869</v>
      </c>
      <c r="CP229" s="213" t="s">
        <v>879</v>
      </c>
      <c r="CQ229" s="213" t="s">
        <v>1703</v>
      </c>
      <c r="CR229" s="213" t="s">
        <v>1703</v>
      </c>
      <c r="CS229" s="213" t="s">
        <v>1620</v>
      </c>
      <c r="CT229" s="213" t="s">
        <v>1621</v>
      </c>
      <c r="CU229" s="213" t="s">
        <v>1622</v>
      </c>
      <c r="CV229" s="214" t="s">
        <v>1623</v>
      </c>
      <c r="CX229" s="212">
        <v>1</v>
      </c>
    </row>
    <row r="230" spans="1:102" ht="21" customHeight="1">
      <c r="A230" s="263"/>
      <c r="B230" s="275" t="s">
        <v>1704</v>
      </c>
      <c r="C230" s="272" t="s">
        <v>1705</v>
      </c>
      <c r="D230" s="263"/>
      <c r="E230" s="263"/>
      <c r="F230" s="263"/>
      <c r="G230" s="263"/>
      <c r="H230" s="263"/>
      <c r="I230" s="263"/>
      <c r="J230" s="263"/>
      <c r="K230" s="263"/>
      <c r="L230" s="263"/>
      <c r="M230" s="263"/>
      <c r="N230" s="263"/>
      <c r="O230" s="263"/>
      <c r="P230" s="263"/>
      <c r="Q230" s="263"/>
      <c r="R230" s="263"/>
      <c r="S230" s="263"/>
      <c r="CM230" s="210"/>
      <c r="CN230" s="213" t="s">
        <v>1706</v>
      </c>
      <c r="CO230" s="213" t="s">
        <v>869</v>
      </c>
      <c r="CP230" s="213" t="s">
        <v>879</v>
      </c>
      <c r="CQ230" s="213" t="s">
        <v>1707</v>
      </c>
      <c r="CR230" s="213" t="s">
        <v>1707</v>
      </c>
      <c r="CS230" s="213" t="s">
        <v>1620</v>
      </c>
      <c r="CT230" s="213" t="s">
        <v>1621</v>
      </c>
      <c r="CU230" s="213" t="s">
        <v>1622</v>
      </c>
      <c r="CV230" s="214" t="s">
        <v>1623</v>
      </c>
      <c r="CX230" s="212">
        <v>1</v>
      </c>
    </row>
    <row r="231" spans="1:102" ht="21" customHeight="1">
      <c r="A231" s="263"/>
      <c r="B231" s="275" t="s">
        <v>1708</v>
      </c>
      <c r="C231" s="272" t="s">
        <v>1709</v>
      </c>
      <c r="D231" s="263"/>
      <c r="E231" s="263"/>
      <c r="F231" s="263"/>
      <c r="G231" s="263"/>
      <c r="H231" s="263"/>
      <c r="I231" s="263"/>
      <c r="J231" s="263"/>
      <c r="K231" s="263"/>
      <c r="L231" s="263"/>
      <c r="M231" s="263"/>
      <c r="N231" s="263"/>
      <c r="O231" s="263"/>
      <c r="P231" s="263"/>
      <c r="Q231" s="263"/>
      <c r="R231" s="263"/>
      <c r="S231" s="263"/>
      <c r="CM231" s="210"/>
      <c r="CN231" s="213" t="s">
        <v>1710</v>
      </c>
      <c r="CO231" s="213" t="s">
        <v>869</v>
      </c>
      <c r="CP231" s="213" t="s">
        <v>879</v>
      </c>
      <c r="CQ231" s="213" t="s">
        <v>1711</v>
      </c>
      <c r="CR231" s="213" t="s">
        <v>1711</v>
      </c>
      <c r="CS231" s="213" t="s">
        <v>1620</v>
      </c>
      <c r="CT231" s="213" t="s">
        <v>1621</v>
      </c>
      <c r="CU231" s="213" t="s">
        <v>1622</v>
      </c>
      <c r="CV231" s="214" t="s">
        <v>1623</v>
      </c>
      <c r="CX231" s="212">
        <v>1</v>
      </c>
    </row>
    <row r="232" spans="1:102" ht="21" customHeight="1">
      <c r="A232" s="263"/>
      <c r="B232" s="275" t="s">
        <v>1712</v>
      </c>
      <c r="C232" s="272" t="s">
        <v>1713</v>
      </c>
      <c r="D232" s="263"/>
      <c r="E232" s="263"/>
      <c r="F232" s="263"/>
      <c r="G232" s="263"/>
      <c r="H232" s="263"/>
      <c r="I232" s="263"/>
      <c r="J232" s="263"/>
      <c r="K232" s="263"/>
      <c r="L232" s="263"/>
      <c r="M232" s="263"/>
      <c r="N232" s="263"/>
      <c r="O232" s="263"/>
      <c r="P232" s="263"/>
      <c r="Q232" s="263"/>
      <c r="R232" s="263"/>
      <c r="S232" s="263"/>
      <c r="CM232" s="210"/>
      <c r="CN232" s="213" t="s">
        <v>1714</v>
      </c>
      <c r="CO232" s="213" t="s">
        <v>869</v>
      </c>
      <c r="CP232" s="213" t="s">
        <v>879</v>
      </c>
      <c r="CQ232" s="213" t="s">
        <v>1715</v>
      </c>
      <c r="CR232" s="213" t="s">
        <v>1715</v>
      </c>
      <c r="CS232" s="213" t="s">
        <v>1620</v>
      </c>
      <c r="CT232" s="213" t="s">
        <v>1621</v>
      </c>
      <c r="CU232" s="213" t="s">
        <v>1622</v>
      </c>
      <c r="CV232" s="214" t="s">
        <v>1623</v>
      </c>
      <c r="CX232" s="212">
        <v>1</v>
      </c>
    </row>
    <row r="233" spans="1:102" ht="21" customHeight="1">
      <c r="A233" s="263"/>
      <c r="B233" s="275" t="s">
        <v>1716</v>
      </c>
      <c r="C233" s="272" t="s">
        <v>1717</v>
      </c>
      <c r="D233" s="263"/>
      <c r="E233" s="263"/>
      <c r="F233" s="263"/>
      <c r="G233" s="263"/>
      <c r="H233" s="263"/>
      <c r="I233" s="263"/>
      <c r="J233" s="263"/>
      <c r="K233" s="263"/>
      <c r="L233" s="263"/>
      <c r="M233" s="263"/>
      <c r="N233" s="263"/>
      <c r="O233" s="263"/>
      <c r="P233" s="263"/>
      <c r="Q233" s="263"/>
      <c r="R233" s="263"/>
      <c r="S233" s="263"/>
      <c r="CM233" s="210"/>
      <c r="CN233" s="213" t="s">
        <v>1718</v>
      </c>
      <c r="CO233" s="213" t="s">
        <v>869</v>
      </c>
      <c r="CP233" s="213" t="s">
        <v>879</v>
      </c>
      <c r="CQ233" s="213" t="s">
        <v>1719</v>
      </c>
      <c r="CR233" s="213" t="s">
        <v>1719</v>
      </c>
      <c r="CS233" s="213" t="s">
        <v>1620</v>
      </c>
      <c r="CT233" s="213" t="s">
        <v>1621</v>
      </c>
      <c r="CU233" s="213" t="s">
        <v>1622</v>
      </c>
      <c r="CV233" s="214" t="s">
        <v>1623</v>
      </c>
      <c r="CX233" s="212">
        <v>1</v>
      </c>
    </row>
    <row r="234" spans="1:102" ht="21" customHeight="1">
      <c r="A234" s="263"/>
      <c r="B234" s="280"/>
      <c r="C234" s="272" t="s">
        <v>1720</v>
      </c>
      <c r="D234" s="263"/>
      <c r="E234" s="263"/>
      <c r="F234" s="263"/>
      <c r="G234" s="263"/>
      <c r="H234" s="263"/>
      <c r="I234" s="263"/>
      <c r="J234" s="263"/>
      <c r="K234" s="263"/>
      <c r="L234" s="263"/>
      <c r="M234" s="263"/>
      <c r="N234" s="263"/>
      <c r="O234" s="263"/>
      <c r="P234" s="263"/>
      <c r="Q234" s="263"/>
      <c r="R234" s="263"/>
      <c r="S234" s="263"/>
      <c r="CM234" s="210"/>
      <c r="CN234" s="213" t="s">
        <v>1721</v>
      </c>
      <c r="CO234" s="213" t="s">
        <v>869</v>
      </c>
      <c r="CP234" s="213" t="s">
        <v>879</v>
      </c>
      <c r="CQ234" s="213" t="s">
        <v>1722</v>
      </c>
      <c r="CR234" s="213" t="s">
        <v>1722</v>
      </c>
      <c r="CS234" s="213" t="s">
        <v>1620</v>
      </c>
      <c r="CT234" s="213" t="s">
        <v>1621</v>
      </c>
      <c r="CU234" s="213" t="s">
        <v>1622</v>
      </c>
      <c r="CV234" s="214" t="s">
        <v>1623</v>
      </c>
      <c r="CX234" s="212">
        <v>1</v>
      </c>
    </row>
    <row r="235" spans="1:102" ht="21" customHeight="1">
      <c r="A235" s="263"/>
      <c r="B235" s="283"/>
      <c r="C235" s="272"/>
      <c r="D235" s="263"/>
      <c r="E235" s="263"/>
      <c r="F235" s="263"/>
      <c r="G235" s="263"/>
      <c r="H235" s="263"/>
      <c r="I235" s="263"/>
      <c r="J235" s="263"/>
      <c r="K235" s="263"/>
      <c r="L235" s="263"/>
      <c r="M235" s="263"/>
      <c r="N235" s="263"/>
      <c r="O235" s="263"/>
      <c r="P235" s="263"/>
      <c r="Q235" s="263"/>
      <c r="R235" s="263"/>
      <c r="S235" s="263"/>
      <c r="CM235" s="210"/>
      <c r="CN235" s="213" t="s">
        <v>1723</v>
      </c>
      <c r="CO235" s="213" t="s">
        <v>869</v>
      </c>
      <c r="CP235" s="213" t="s">
        <v>879</v>
      </c>
      <c r="CQ235" s="213" t="s">
        <v>1724</v>
      </c>
      <c r="CR235" s="213" t="s">
        <v>1724</v>
      </c>
      <c r="CS235" s="213" t="s">
        <v>1620</v>
      </c>
      <c r="CT235" s="213" t="s">
        <v>1628</v>
      </c>
      <c r="CU235" s="213" t="s">
        <v>883</v>
      </c>
      <c r="CV235" s="214" t="s">
        <v>884</v>
      </c>
      <c r="CX235" s="212">
        <v>1</v>
      </c>
    </row>
    <row r="236" spans="1:102" ht="21" customHeight="1">
      <c r="A236" s="263"/>
      <c r="B236" s="282" t="s">
        <v>1725</v>
      </c>
      <c r="C236" s="281"/>
      <c r="D236" s="263"/>
      <c r="E236" s="263"/>
      <c r="F236" s="263"/>
      <c r="G236" s="263"/>
      <c r="H236" s="263"/>
      <c r="I236" s="263"/>
      <c r="J236" s="263"/>
      <c r="K236" s="263"/>
      <c r="L236" s="263"/>
      <c r="M236" s="263"/>
      <c r="N236" s="263"/>
      <c r="O236" s="263"/>
      <c r="P236" s="263"/>
      <c r="Q236" s="263"/>
      <c r="R236" s="263"/>
      <c r="S236" s="263"/>
      <c r="CM236" s="210"/>
      <c r="CN236" s="213" t="s">
        <v>1726</v>
      </c>
      <c r="CO236" s="213" t="s">
        <v>869</v>
      </c>
      <c r="CP236" s="213" t="s">
        <v>879</v>
      </c>
      <c r="CQ236" s="213" t="s">
        <v>1727</v>
      </c>
      <c r="CR236" s="213" t="s">
        <v>1727</v>
      </c>
      <c r="CS236" s="213" t="s">
        <v>971</v>
      </c>
      <c r="CT236" s="213" t="s">
        <v>972</v>
      </c>
      <c r="CU236" s="213" t="s">
        <v>883</v>
      </c>
      <c r="CV236" s="214" t="s">
        <v>973</v>
      </c>
      <c r="CX236" s="212">
        <v>1</v>
      </c>
    </row>
    <row r="237" spans="1:102" ht="21" customHeight="1">
      <c r="A237" s="263"/>
      <c r="B237" s="275" t="s">
        <v>1728</v>
      </c>
      <c r="C237" s="272" t="s">
        <v>1729</v>
      </c>
      <c r="D237" s="263"/>
      <c r="E237" s="263"/>
      <c r="F237" s="263"/>
      <c r="G237" s="263"/>
      <c r="H237" s="263"/>
      <c r="I237" s="263"/>
      <c r="J237" s="263"/>
      <c r="K237" s="263"/>
      <c r="L237" s="263"/>
      <c r="M237" s="263"/>
      <c r="N237" s="263"/>
      <c r="O237" s="263"/>
      <c r="P237" s="263"/>
      <c r="Q237" s="263"/>
      <c r="R237" s="263"/>
      <c r="S237" s="263"/>
      <c r="CM237" s="210"/>
      <c r="CN237" s="213" t="s">
        <v>1730</v>
      </c>
      <c r="CO237" s="213" t="s">
        <v>869</v>
      </c>
      <c r="CP237" s="213" t="s">
        <v>879</v>
      </c>
      <c r="CQ237" s="213" t="s">
        <v>1731</v>
      </c>
      <c r="CR237" s="213" t="s">
        <v>1731</v>
      </c>
      <c r="CS237" s="213" t="s">
        <v>971</v>
      </c>
      <c r="CT237" s="213" t="s">
        <v>972</v>
      </c>
      <c r="CU237" s="213" t="s">
        <v>883</v>
      </c>
      <c r="CV237" s="214" t="s">
        <v>973</v>
      </c>
      <c r="CX237" s="212">
        <v>1</v>
      </c>
    </row>
    <row r="238" spans="1:102" ht="21" customHeight="1">
      <c r="A238" s="263"/>
      <c r="B238" s="275" t="s">
        <v>1732</v>
      </c>
      <c r="C238" s="272" t="s">
        <v>1733</v>
      </c>
      <c r="D238" s="263"/>
      <c r="E238" s="263"/>
      <c r="F238" s="263"/>
      <c r="G238" s="263"/>
      <c r="H238" s="263"/>
      <c r="I238" s="263"/>
      <c r="J238" s="263"/>
      <c r="K238" s="263"/>
      <c r="L238" s="263"/>
      <c r="M238" s="263"/>
      <c r="N238" s="263"/>
      <c r="O238" s="263"/>
      <c r="P238" s="263"/>
      <c r="Q238" s="263"/>
      <c r="R238" s="263"/>
      <c r="S238" s="263"/>
      <c r="CM238" s="210"/>
      <c r="CN238" s="213" t="s">
        <v>1734</v>
      </c>
      <c r="CO238" s="213" t="s">
        <v>869</v>
      </c>
      <c r="CP238" s="213" t="s">
        <v>879</v>
      </c>
      <c r="CQ238" s="213" t="s">
        <v>1735</v>
      </c>
      <c r="CR238" s="213" t="s">
        <v>1735</v>
      </c>
      <c r="CS238" s="213" t="s">
        <v>1620</v>
      </c>
      <c r="CT238" s="213" t="s">
        <v>1621</v>
      </c>
      <c r="CU238" s="213" t="s">
        <v>1622</v>
      </c>
      <c r="CV238" s="214" t="s">
        <v>1623</v>
      </c>
      <c r="CX238" s="212">
        <v>1</v>
      </c>
    </row>
    <row r="239" spans="1:102" ht="21" customHeight="1">
      <c r="A239" s="262"/>
      <c r="B239" s="284" t="s">
        <v>1736</v>
      </c>
      <c r="C239" s="272" t="s">
        <v>1737</v>
      </c>
      <c r="D239" s="262"/>
      <c r="E239" s="262"/>
      <c r="F239" s="262"/>
      <c r="G239" s="262"/>
      <c r="H239" s="262"/>
      <c r="I239" s="262"/>
      <c r="J239" s="262"/>
      <c r="K239" s="262"/>
      <c r="L239" s="262"/>
      <c r="M239" s="262"/>
      <c r="N239" s="262"/>
      <c r="O239" s="262"/>
      <c r="P239" s="262"/>
      <c r="Q239" s="262"/>
      <c r="R239" s="262"/>
      <c r="S239" s="262"/>
      <c r="CM239" s="210"/>
      <c r="CN239" s="213" t="s">
        <v>1738</v>
      </c>
      <c r="CO239" s="213" t="s">
        <v>869</v>
      </c>
      <c r="CP239" s="213" t="s">
        <v>879</v>
      </c>
      <c r="CQ239" s="213" t="s">
        <v>1739</v>
      </c>
      <c r="CR239" s="213" t="s">
        <v>1739</v>
      </c>
      <c r="CS239" s="213" t="s">
        <v>1620</v>
      </c>
      <c r="CT239" s="213" t="s">
        <v>1621</v>
      </c>
      <c r="CU239" s="213" t="s">
        <v>1622</v>
      </c>
      <c r="CV239" s="214" t="s">
        <v>1623</v>
      </c>
      <c r="CX239" s="212">
        <v>1</v>
      </c>
    </row>
    <row r="240" spans="1:102" ht="21" customHeight="1">
      <c r="A240" s="262"/>
      <c r="B240" s="284" t="s">
        <v>1740</v>
      </c>
      <c r="C240" s="272" t="s">
        <v>1741</v>
      </c>
      <c r="D240" s="262"/>
      <c r="E240" s="262"/>
      <c r="F240" s="262"/>
      <c r="G240" s="262"/>
      <c r="H240" s="262"/>
      <c r="I240" s="262"/>
      <c r="J240" s="262"/>
      <c r="K240" s="262"/>
      <c r="L240" s="262"/>
      <c r="M240" s="262"/>
      <c r="N240" s="262"/>
      <c r="O240" s="262"/>
      <c r="P240" s="262"/>
      <c r="Q240" s="262"/>
      <c r="R240" s="262"/>
      <c r="S240" s="262"/>
      <c r="CM240" s="210"/>
      <c r="CN240" s="213" t="s">
        <v>1742</v>
      </c>
      <c r="CO240" s="213" t="s">
        <v>869</v>
      </c>
      <c r="CP240" s="213" t="s">
        <v>879</v>
      </c>
      <c r="CQ240" s="213" t="s">
        <v>1743</v>
      </c>
      <c r="CR240" s="213" t="s">
        <v>1743</v>
      </c>
      <c r="CS240" s="213" t="s">
        <v>1620</v>
      </c>
      <c r="CT240" s="213" t="s">
        <v>1621</v>
      </c>
      <c r="CU240" s="213" t="s">
        <v>1622</v>
      </c>
      <c r="CV240" s="214" t="s">
        <v>1623</v>
      </c>
      <c r="CX240" s="212">
        <v>1</v>
      </c>
    </row>
    <row r="241" spans="1:102" ht="21" customHeight="1">
      <c r="A241" s="262"/>
      <c r="B241" s="275" t="s">
        <v>1744</v>
      </c>
      <c r="C241" s="272" t="s">
        <v>1745</v>
      </c>
      <c r="D241" s="262"/>
      <c r="E241" s="262"/>
      <c r="F241" s="262"/>
      <c r="G241" s="262"/>
      <c r="H241" s="262"/>
      <c r="I241" s="262"/>
      <c r="J241" s="262"/>
      <c r="K241" s="262"/>
      <c r="L241" s="262"/>
      <c r="M241" s="262"/>
      <c r="N241" s="262"/>
      <c r="O241" s="262"/>
      <c r="P241" s="262"/>
      <c r="Q241" s="262"/>
      <c r="R241" s="262"/>
      <c r="S241" s="262"/>
      <c r="CM241" s="210"/>
      <c r="CN241" s="213" t="s">
        <v>1746</v>
      </c>
      <c r="CO241" s="213" t="s">
        <v>869</v>
      </c>
      <c r="CP241" s="213" t="s">
        <v>879</v>
      </c>
      <c r="CQ241" s="213" t="s">
        <v>1747</v>
      </c>
      <c r="CR241" s="213" t="s">
        <v>1747</v>
      </c>
      <c r="CS241" s="213" t="s">
        <v>1620</v>
      </c>
      <c r="CT241" s="213" t="s">
        <v>1621</v>
      </c>
      <c r="CU241" s="213" t="s">
        <v>1622</v>
      </c>
      <c r="CV241" s="214" t="s">
        <v>1623</v>
      </c>
      <c r="CX241" s="212"/>
    </row>
    <row r="242" spans="1:102" ht="21" customHeight="1">
      <c r="A242" s="262"/>
      <c r="B242" s="284" t="s">
        <v>1748</v>
      </c>
      <c r="C242" s="272" t="s">
        <v>1749</v>
      </c>
      <c r="D242" s="262"/>
      <c r="E242" s="262"/>
      <c r="F242" s="262"/>
      <c r="G242" s="262"/>
      <c r="H242" s="262"/>
      <c r="I242" s="262"/>
      <c r="J242" s="262"/>
      <c r="K242" s="262"/>
      <c r="L242" s="262"/>
      <c r="M242" s="262"/>
      <c r="N242" s="262"/>
      <c r="O242" s="262"/>
      <c r="P242" s="262"/>
      <c r="Q242" s="262"/>
      <c r="R242" s="262"/>
      <c r="S242" s="262"/>
      <c r="CM242" s="210"/>
      <c r="CN242" s="213" t="s">
        <v>1750</v>
      </c>
      <c r="CO242" s="213" t="s">
        <v>869</v>
      </c>
      <c r="CP242" s="213" t="s">
        <v>879</v>
      </c>
      <c r="CQ242" s="213" t="s">
        <v>1751</v>
      </c>
      <c r="CR242" s="213" t="s">
        <v>1751</v>
      </c>
      <c r="CS242" s="213" t="s">
        <v>1620</v>
      </c>
      <c r="CT242" s="213" t="s">
        <v>1621</v>
      </c>
      <c r="CU242" s="213" t="s">
        <v>1622</v>
      </c>
      <c r="CV242" s="214" t="s">
        <v>1623</v>
      </c>
      <c r="CX242" s="212">
        <v>1</v>
      </c>
    </row>
    <row r="243" spans="1:102" ht="21" customHeight="1">
      <c r="A243" s="262"/>
      <c r="B243" s="284"/>
      <c r="C243" s="272"/>
      <c r="D243" s="262"/>
      <c r="E243" s="262"/>
      <c r="F243" s="262"/>
      <c r="G243" s="262"/>
      <c r="H243" s="262"/>
      <c r="I243" s="262"/>
      <c r="J243" s="262"/>
      <c r="K243" s="262"/>
      <c r="L243" s="262"/>
      <c r="M243" s="262"/>
      <c r="N243" s="262"/>
      <c r="O243" s="262"/>
      <c r="P243" s="262"/>
      <c r="Q243" s="262"/>
      <c r="R243" s="262"/>
      <c r="S243" s="262"/>
      <c r="CM243" s="210"/>
      <c r="CN243" s="213" t="s">
        <v>1752</v>
      </c>
      <c r="CO243" s="213" t="s">
        <v>869</v>
      </c>
      <c r="CP243" s="213" t="s">
        <v>879</v>
      </c>
      <c r="CQ243" s="213" t="s">
        <v>1753</v>
      </c>
      <c r="CR243" s="213" t="s">
        <v>1753</v>
      </c>
      <c r="CS243" s="213" t="s">
        <v>1620</v>
      </c>
      <c r="CT243" s="213" t="s">
        <v>1621</v>
      </c>
      <c r="CU243" s="213" t="s">
        <v>1622</v>
      </c>
      <c r="CV243" s="214" t="s">
        <v>1623</v>
      </c>
      <c r="CX243" s="212">
        <v>1</v>
      </c>
    </row>
    <row r="244" spans="1:102" ht="21" customHeight="1">
      <c r="A244" s="262"/>
      <c r="B244" s="282" t="s">
        <v>1754</v>
      </c>
      <c r="C244" s="281"/>
      <c r="D244" s="262"/>
      <c r="E244" s="262"/>
      <c r="F244" s="262"/>
      <c r="G244" s="262"/>
      <c r="H244" s="262"/>
      <c r="I244" s="262"/>
      <c r="J244" s="262"/>
      <c r="K244" s="262"/>
      <c r="L244" s="262"/>
      <c r="M244" s="262"/>
      <c r="N244" s="262"/>
      <c r="O244" s="262"/>
      <c r="P244" s="262"/>
      <c r="Q244" s="262"/>
      <c r="R244" s="262"/>
      <c r="S244" s="262"/>
      <c r="CM244" s="210"/>
      <c r="CN244" s="213" t="s">
        <v>1755</v>
      </c>
      <c r="CO244" s="213" t="s">
        <v>869</v>
      </c>
      <c r="CP244" s="213" t="s">
        <v>879</v>
      </c>
      <c r="CQ244" s="213" t="s">
        <v>1756</v>
      </c>
      <c r="CR244" s="213" t="s">
        <v>1756</v>
      </c>
      <c r="CS244" s="213" t="s">
        <v>1620</v>
      </c>
      <c r="CT244" s="213" t="s">
        <v>1621</v>
      </c>
      <c r="CU244" s="213" t="s">
        <v>1622</v>
      </c>
      <c r="CV244" s="214" t="s">
        <v>1623</v>
      </c>
      <c r="CX244" s="212">
        <v>1</v>
      </c>
    </row>
    <row r="245" spans="1:102" ht="21" customHeight="1">
      <c r="A245" s="262"/>
      <c r="B245" s="275" t="s">
        <v>1757</v>
      </c>
      <c r="C245" s="272" t="s">
        <v>1758</v>
      </c>
      <c r="D245" s="262"/>
      <c r="E245" s="262"/>
      <c r="F245" s="262"/>
      <c r="G245" s="262"/>
      <c r="H245" s="262"/>
      <c r="I245" s="262"/>
      <c r="J245" s="262"/>
      <c r="K245" s="262"/>
      <c r="L245" s="262"/>
      <c r="M245" s="262"/>
      <c r="N245" s="262"/>
      <c r="O245" s="262"/>
      <c r="P245" s="262"/>
      <c r="Q245" s="262"/>
      <c r="R245" s="262"/>
      <c r="S245" s="262"/>
      <c r="CM245" s="210"/>
      <c r="CN245" s="213" t="s">
        <v>1759</v>
      </c>
      <c r="CO245" s="213" t="s">
        <v>869</v>
      </c>
      <c r="CP245" s="213" t="s">
        <v>879</v>
      </c>
      <c r="CQ245" s="213" t="s">
        <v>1760</v>
      </c>
      <c r="CR245" s="213" t="s">
        <v>1760</v>
      </c>
      <c r="CS245" s="213" t="s">
        <v>1620</v>
      </c>
      <c r="CT245" s="213" t="s">
        <v>1621</v>
      </c>
      <c r="CU245" s="213" t="s">
        <v>1622</v>
      </c>
      <c r="CV245" s="214" t="s">
        <v>1623</v>
      </c>
      <c r="CX245" s="212">
        <v>1</v>
      </c>
    </row>
    <row r="246" spans="1:102" ht="21" customHeight="1">
      <c r="A246" s="262"/>
      <c r="B246" s="284" t="s">
        <v>1761</v>
      </c>
      <c r="C246" s="285" t="s">
        <v>1762</v>
      </c>
      <c r="D246" s="262"/>
      <c r="E246" s="262"/>
      <c r="F246" s="262"/>
      <c r="G246" s="262"/>
      <c r="H246" s="262"/>
      <c r="I246" s="262"/>
      <c r="J246" s="262"/>
      <c r="K246" s="262"/>
      <c r="L246" s="262"/>
      <c r="M246" s="262"/>
      <c r="N246" s="262"/>
      <c r="O246" s="262"/>
      <c r="P246" s="262"/>
      <c r="Q246" s="262"/>
      <c r="R246" s="262"/>
      <c r="S246" s="262"/>
      <c r="CM246" s="210"/>
      <c r="CN246" s="213" t="s">
        <v>1763</v>
      </c>
      <c r="CO246" s="213" t="s">
        <v>869</v>
      </c>
      <c r="CP246" s="213" t="s">
        <v>879</v>
      </c>
      <c r="CQ246" s="213" t="s">
        <v>1764</v>
      </c>
      <c r="CR246" s="213" t="s">
        <v>1764</v>
      </c>
      <c r="CS246" s="213" t="s">
        <v>1620</v>
      </c>
      <c r="CT246" s="213" t="s">
        <v>1621</v>
      </c>
      <c r="CU246" s="213" t="s">
        <v>1622</v>
      </c>
      <c r="CV246" s="214" t="s">
        <v>1623</v>
      </c>
      <c r="CX246" s="212">
        <v>1</v>
      </c>
    </row>
    <row r="247" spans="1:102" ht="21" customHeight="1">
      <c r="A247" s="262"/>
      <c r="B247" s="284" t="s">
        <v>1765</v>
      </c>
      <c r="C247" s="285" t="s">
        <v>1766</v>
      </c>
      <c r="D247" s="262"/>
      <c r="E247" s="262"/>
      <c r="F247" s="262"/>
      <c r="G247" s="262"/>
      <c r="H247" s="262"/>
      <c r="I247" s="262"/>
      <c r="J247" s="262"/>
      <c r="K247" s="262"/>
      <c r="L247" s="262"/>
      <c r="M247" s="262"/>
      <c r="N247" s="262"/>
      <c r="O247" s="262"/>
      <c r="P247" s="262"/>
      <c r="Q247" s="262"/>
      <c r="R247" s="262"/>
      <c r="S247" s="262"/>
      <c r="CM247" s="210"/>
      <c r="CN247" s="213" t="s">
        <v>1767</v>
      </c>
      <c r="CO247" s="213" t="s">
        <v>869</v>
      </c>
      <c r="CP247" s="213" t="s">
        <v>879</v>
      </c>
      <c r="CQ247" s="213" t="s">
        <v>1768</v>
      </c>
      <c r="CR247" s="213" t="s">
        <v>1768</v>
      </c>
      <c r="CS247" s="213" t="s">
        <v>1620</v>
      </c>
      <c r="CT247" s="213" t="s">
        <v>1621</v>
      </c>
      <c r="CU247" s="213" t="s">
        <v>1622</v>
      </c>
      <c r="CV247" s="214" t="s">
        <v>1623</v>
      </c>
      <c r="CX247" s="212">
        <v>1</v>
      </c>
    </row>
    <row r="248" spans="1:102" ht="21" customHeight="1">
      <c r="A248" s="262"/>
      <c r="B248" s="284" t="s">
        <v>1769</v>
      </c>
      <c r="C248" s="272" t="s">
        <v>1770</v>
      </c>
      <c r="D248" s="262"/>
      <c r="E248" s="262"/>
      <c r="F248" s="262"/>
      <c r="G248" s="262"/>
      <c r="H248" s="262"/>
      <c r="I248" s="262"/>
      <c r="J248" s="262"/>
      <c r="K248" s="262"/>
      <c r="L248" s="262"/>
      <c r="M248" s="262"/>
      <c r="N248" s="262"/>
      <c r="O248" s="262"/>
      <c r="P248" s="262"/>
      <c r="Q248" s="262"/>
      <c r="R248" s="262"/>
      <c r="S248" s="262"/>
      <c r="CM248" s="210"/>
      <c r="CN248" s="213" t="s">
        <v>1771</v>
      </c>
      <c r="CO248" s="213" t="s">
        <v>869</v>
      </c>
      <c r="CP248" s="213" t="s">
        <v>879</v>
      </c>
      <c r="CQ248" s="213" t="s">
        <v>1772</v>
      </c>
      <c r="CR248" s="213" t="s">
        <v>1772</v>
      </c>
      <c r="CS248" s="213" t="s">
        <v>1620</v>
      </c>
      <c r="CT248" s="213" t="s">
        <v>1621</v>
      </c>
      <c r="CU248" s="213" t="s">
        <v>1622</v>
      </c>
      <c r="CV248" s="214" t="s">
        <v>1623</v>
      </c>
      <c r="CX248" s="212">
        <v>1</v>
      </c>
    </row>
    <row r="249" spans="1:102" ht="21" customHeight="1">
      <c r="A249" s="262"/>
      <c r="B249" s="284" t="s">
        <v>1773</v>
      </c>
      <c r="C249" s="272" t="s">
        <v>1774</v>
      </c>
      <c r="D249" s="262"/>
      <c r="E249" s="262"/>
      <c r="F249" s="262"/>
      <c r="G249" s="262"/>
      <c r="H249" s="262"/>
      <c r="I249" s="262"/>
      <c r="J249" s="262"/>
      <c r="K249" s="262"/>
      <c r="L249" s="262"/>
      <c r="M249" s="262"/>
      <c r="N249" s="262"/>
      <c r="O249" s="262"/>
      <c r="P249" s="262"/>
      <c r="Q249" s="262"/>
      <c r="R249" s="262"/>
      <c r="S249" s="262"/>
      <c r="CM249" s="210"/>
      <c r="CN249" s="213" t="s">
        <v>1775</v>
      </c>
      <c r="CO249" s="213" t="s">
        <v>869</v>
      </c>
      <c r="CP249" s="213" t="s">
        <v>879</v>
      </c>
      <c r="CQ249" s="213" t="s">
        <v>1776</v>
      </c>
      <c r="CR249" s="213" t="s">
        <v>1776</v>
      </c>
      <c r="CS249" s="213" t="s">
        <v>1620</v>
      </c>
      <c r="CT249" s="213" t="s">
        <v>1621</v>
      </c>
      <c r="CU249" s="213" t="s">
        <v>1622</v>
      </c>
      <c r="CV249" s="214" t="s">
        <v>1623</v>
      </c>
      <c r="CX249" s="212">
        <v>1</v>
      </c>
    </row>
    <row r="250" spans="1:102" ht="21" customHeight="1">
      <c r="A250" s="262"/>
      <c r="B250" s="284"/>
      <c r="C250" s="272"/>
      <c r="D250" s="262"/>
      <c r="E250" s="262"/>
      <c r="F250" s="262"/>
      <c r="G250" s="262"/>
      <c r="H250" s="262"/>
      <c r="I250" s="262"/>
      <c r="J250" s="262"/>
      <c r="K250" s="262"/>
      <c r="L250" s="262"/>
      <c r="M250" s="262"/>
      <c r="N250" s="262"/>
      <c r="O250" s="262"/>
      <c r="P250" s="262"/>
      <c r="Q250" s="262"/>
      <c r="R250" s="262"/>
      <c r="S250" s="262"/>
      <c r="CM250" s="210"/>
      <c r="CN250" s="213" t="s">
        <v>1777</v>
      </c>
      <c r="CO250" s="213" t="s">
        <v>869</v>
      </c>
      <c r="CP250" s="213" t="s">
        <v>879</v>
      </c>
      <c r="CQ250" s="213" t="s">
        <v>1778</v>
      </c>
      <c r="CR250" s="213" t="s">
        <v>1778</v>
      </c>
      <c r="CS250" s="213" t="s">
        <v>1620</v>
      </c>
      <c r="CT250" s="213" t="s">
        <v>1621</v>
      </c>
      <c r="CU250" s="213" t="s">
        <v>1622</v>
      </c>
      <c r="CV250" s="214" t="s">
        <v>1623</v>
      </c>
      <c r="CX250" s="212">
        <v>1</v>
      </c>
    </row>
    <row r="251" spans="1:102" ht="21" customHeight="1">
      <c r="A251" s="262"/>
      <c r="B251" s="280" t="s">
        <v>414</v>
      </c>
      <c r="C251" s="278"/>
      <c r="D251" s="262"/>
      <c r="E251" s="262"/>
      <c r="F251" s="262"/>
      <c r="G251" s="262"/>
      <c r="H251" s="262"/>
      <c r="I251" s="262"/>
      <c r="J251" s="262"/>
      <c r="K251" s="262"/>
      <c r="L251" s="262"/>
      <c r="M251" s="262"/>
      <c r="N251" s="262"/>
      <c r="O251" s="262"/>
      <c r="P251" s="262"/>
      <c r="Q251" s="262"/>
      <c r="R251" s="262"/>
      <c r="S251" s="262"/>
      <c r="CM251" s="210"/>
      <c r="CN251" s="213" t="s">
        <v>1779</v>
      </c>
      <c r="CO251" s="213" t="s">
        <v>869</v>
      </c>
      <c r="CP251" s="213" t="s">
        <v>879</v>
      </c>
      <c r="CQ251" s="213" t="s">
        <v>1780</v>
      </c>
      <c r="CR251" s="213" t="s">
        <v>1780</v>
      </c>
      <c r="CS251" s="213" t="s">
        <v>1620</v>
      </c>
      <c r="CT251" s="213" t="s">
        <v>1621</v>
      </c>
      <c r="CU251" s="213" t="s">
        <v>1622</v>
      </c>
      <c r="CV251" s="214" t="s">
        <v>1623</v>
      </c>
      <c r="CX251" s="212">
        <v>1</v>
      </c>
    </row>
    <row r="252" spans="1:102" ht="21" customHeight="1">
      <c r="A252" s="262"/>
      <c r="B252" s="284"/>
      <c r="C252" s="283" t="s">
        <v>1781</v>
      </c>
      <c r="D252" s="262"/>
      <c r="E252" s="262"/>
      <c r="F252" s="262"/>
      <c r="G252" s="262"/>
      <c r="H252" s="262"/>
      <c r="I252" s="262"/>
      <c r="J252" s="262"/>
      <c r="K252" s="262"/>
      <c r="L252" s="262"/>
      <c r="M252" s="262"/>
      <c r="N252" s="262"/>
      <c r="O252" s="262"/>
      <c r="P252" s="262"/>
      <c r="Q252" s="262"/>
      <c r="R252" s="262"/>
      <c r="S252" s="262"/>
      <c r="CM252" s="210"/>
      <c r="CN252" s="213" t="s">
        <v>1782</v>
      </c>
      <c r="CO252" s="213" t="s">
        <v>869</v>
      </c>
      <c r="CP252" s="213" t="s">
        <v>879</v>
      </c>
      <c r="CQ252" s="213" t="s">
        <v>1783</v>
      </c>
      <c r="CR252" s="213" t="s">
        <v>1783</v>
      </c>
      <c r="CS252" s="213" t="s">
        <v>1620</v>
      </c>
      <c r="CT252" s="213" t="s">
        <v>1621</v>
      </c>
      <c r="CU252" s="213" t="s">
        <v>1622</v>
      </c>
      <c r="CV252" s="214" t="s">
        <v>1623</v>
      </c>
      <c r="CX252" s="212">
        <v>1</v>
      </c>
    </row>
    <row r="253" spans="1:102" ht="21" customHeight="1">
      <c r="A253" s="262"/>
      <c r="B253" s="284" t="s">
        <v>1784</v>
      </c>
      <c r="C253" s="283" t="s">
        <v>1785</v>
      </c>
      <c r="D253" s="262"/>
      <c r="E253" s="262"/>
      <c r="F253" s="262"/>
      <c r="G253" s="262"/>
      <c r="H253" s="262"/>
      <c r="I253" s="262"/>
      <c r="J253" s="262"/>
      <c r="K253" s="262"/>
      <c r="L253" s="262"/>
      <c r="M253" s="262"/>
      <c r="N253" s="262"/>
      <c r="O253" s="262"/>
      <c r="P253" s="262"/>
      <c r="Q253" s="262"/>
      <c r="R253" s="262"/>
      <c r="S253" s="262"/>
      <c r="CM253" s="210"/>
      <c r="CN253" s="213" t="s">
        <v>1786</v>
      </c>
      <c r="CO253" s="213" t="s">
        <v>869</v>
      </c>
      <c r="CP253" s="213" t="s">
        <v>879</v>
      </c>
      <c r="CQ253" s="213" t="s">
        <v>1787</v>
      </c>
      <c r="CR253" s="213" t="s">
        <v>1787</v>
      </c>
      <c r="CS253" s="213" t="s">
        <v>1620</v>
      </c>
      <c r="CT253" s="213" t="s">
        <v>1621</v>
      </c>
      <c r="CU253" s="213" t="s">
        <v>1622</v>
      </c>
      <c r="CV253" s="214" t="s">
        <v>1623</v>
      </c>
      <c r="CX253" s="212">
        <v>1</v>
      </c>
    </row>
    <row r="254" spans="1:102" ht="21" customHeight="1">
      <c r="A254" s="262"/>
      <c r="B254" s="284" t="s">
        <v>1788</v>
      </c>
      <c r="C254" s="283" t="s">
        <v>1789</v>
      </c>
      <c r="D254" s="262"/>
      <c r="E254" s="262"/>
      <c r="F254" s="262"/>
      <c r="G254" s="262"/>
      <c r="H254" s="262"/>
      <c r="I254" s="262"/>
      <c r="J254" s="262"/>
      <c r="K254" s="262"/>
      <c r="L254" s="262"/>
      <c r="M254" s="262"/>
      <c r="N254" s="262"/>
      <c r="O254" s="262"/>
      <c r="P254" s="262"/>
      <c r="Q254" s="262"/>
      <c r="R254" s="262"/>
      <c r="S254" s="262"/>
      <c r="CM254" s="210"/>
      <c r="CN254" s="213" t="s">
        <v>1790</v>
      </c>
      <c r="CO254" s="213" t="s">
        <v>869</v>
      </c>
      <c r="CP254" s="213" t="s">
        <v>879</v>
      </c>
      <c r="CQ254" s="213" t="s">
        <v>1791</v>
      </c>
      <c r="CR254" s="213" t="s">
        <v>1791</v>
      </c>
      <c r="CS254" s="213" t="s">
        <v>1620</v>
      </c>
      <c r="CT254" s="213" t="s">
        <v>1621</v>
      </c>
      <c r="CU254" s="213" t="s">
        <v>1622</v>
      </c>
      <c r="CV254" s="214" t="s">
        <v>1623</v>
      </c>
      <c r="CX254" s="212">
        <v>1</v>
      </c>
    </row>
    <row r="255" spans="1:102" ht="21" customHeight="1">
      <c r="A255" s="262"/>
      <c r="B255" s="284" t="s">
        <v>1792</v>
      </c>
      <c r="C255" s="286" t="s">
        <v>1793</v>
      </c>
      <c r="D255" s="262"/>
      <c r="E255" s="262"/>
      <c r="F255" s="262"/>
      <c r="G255" s="262"/>
      <c r="H255" s="262"/>
      <c r="I255" s="262"/>
      <c r="J255" s="262"/>
      <c r="K255" s="262"/>
      <c r="L255" s="262"/>
      <c r="M255" s="262"/>
      <c r="N255" s="262"/>
      <c r="O255" s="262"/>
      <c r="P255" s="262"/>
      <c r="Q255" s="262"/>
      <c r="R255" s="262"/>
      <c r="S255" s="262"/>
      <c r="CM255" s="210"/>
      <c r="CN255" s="213" t="s">
        <v>1794</v>
      </c>
      <c r="CO255" s="213" t="s">
        <v>869</v>
      </c>
      <c r="CP255" s="213" t="s">
        <v>879</v>
      </c>
      <c r="CQ255" s="213" t="s">
        <v>1795</v>
      </c>
      <c r="CR255" s="213" t="s">
        <v>1795</v>
      </c>
      <c r="CS255" s="213" t="s">
        <v>1620</v>
      </c>
      <c r="CT255" s="213" t="s">
        <v>1621</v>
      </c>
      <c r="CU255" s="213" t="s">
        <v>1622</v>
      </c>
      <c r="CV255" s="214" t="s">
        <v>1623</v>
      </c>
      <c r="CX255" s="212">
        <v>1</v>
      </c>
    </row>
    <row r="256" spans="1:102" ht="21" customHeight="1">
      <c r="A256" s="262"/>
      <c r="B256" s="284" t="s">
        <v>1796</v>
      </c>
      <c r="C256" s="286" t="s">
        <v>1797</v>
      </c>
      <c r="D256" s="262"/>
      <c r="E256" s="262"/>
      <c r="F256" s="262"/>
      <c r="G256" s="262"/>
      <c r="H256" s="262"/>
      <c r="I256" s="262"/>
      <c r="J256" s="262"/>
      <c r="K256" s="262"/>
      <c r="L256" s="262"/>
      <c r="M256" s="262"/>
      <c r="N256" s="262"/>
      <c r="O256" s="262"/>
      <c r="P256" s="262"/>
      <c r="Q256" s="262"/>
      <c r="R256" s="262"/>
      <c r="S256" s="262"/>
      <c r="CM256" s="210"/>
      <c r="CN256" s="213" t="s">
        <v>1798</v>
      </c>
      <c r="CO256" s="213" t="s">
        <v>869</v>
      </c>
      <c r="CP256" s="213" t="s">
        <v>879</v>
      </c>
      <c r="CQ256" s="213" t="s">
        <v>1799</v>
      </c>
      <c r="CR256" s="213" t="s">
        <v>1799</v>
      </c>
      <c r="CS256" s="213" t="s">
        <v>1620</v>
      </c>
      <c r="CT256" s="213" t="s">
        <v>1621</v>
      </c>
      <c r="CU256" s="213" t="s">
        <v>1622</v>
      </c>
      <c r="CV256" s="214" t="s">
        <v>1623</v>
      </c>
      <c r="CX256" s="212">
        <v>1</v>
      </c>
    </row>
    <row r="257" spans="1:102" ht="21" customHeight="1">
      <c r="A257" s="262"/>
      <c r="B257" s="284" t="s">
        <v>1712</v>
      </c>
      <c r="C257" s="286" t="s">
        <v>1800</v>
      </c>
      <c r="D257" s="262"/>
      <c r="E257" s="262"/>
      <c r="F257" s="262"/>
      <c r="G257" s="262"/>
      <c r="H257" s="262"/>
      <c r="I257" s="262"/>
      <c r="J257" s="262"/>
      <c r="K257" s="262"/>
      <c r="L257" s="262"/>
      <c r="M257" s="262"/>
      <c r="N257" s="262"/>
      <c r="O257" s="262"/>
      <c r="P257" s="262"/>
      <c r="Q257" s="262"/>
      <c r="R257" s="262"/>
      <c r="S257" s="262"/>
      <c r="CM257" s="210"/>
      <c r="CN257" s="213" t="s">
        <v>1801</v>
      </c>
      <c r="CO257" s="213" t="s">
        <v>869</v>
      </c>
      <c r="CP257" s="213" t="s">
        <v>879</v>
      </c>
      <c r="CQ257" s="213" t="s">
        <v>1802</v>
      </c>
      <c r="CR257" s="213" t="s">
        <v>1802</v>
      </c>
      <c r="CS257" s="213" t="s">
        <v>1620</v>
      </c>
      <c r="CT257" s="213" t="s">
        <v>1621</v>
      </c>
      <c r="CU257" s="213" t="s">
        <v>1622</v>
      </c>
      <c r="CV257" s="214" t="s">
        <v>1623</v>
      </c>
      <c r="CX257" s="212">
        <v>1</v>
      </c>
    </row>
    <row r="258" spans="1:102" ht="21" customHeight="1">
      <c r="A258" s="262"/>
      <c r="B258" s="284" t="s">
        <v>1803</v>
      </c>
      <c r="C258" s="286" t="s">
        <v>1804</v>
      </c>
      <c r="D258" s="262"/>
      <c r="E258" s="262"/>
      <c r="F258" s="262"/>
      <c r="G258" s="262"/>
      <c r="H258" s="262"/>
      <c r="I258" s="262"/>
      <c r="J258" s="262"/>
      <c r="K258" s="262"/>
      <c r="L258" s="262"/>
      <c r="M258" s="262"/>
      <c r="N258" s="262"/>
      <c r="O258" s="262"/>
      <c r="P258" s="262"/>
      <c r="Q258" s="262"/>
      <c r="R258" s="262"/>
      <c r="S258" s="262"/>
      <c r="CM258" s="210"/>
      <c r="CN258" s="213" t="s">
        <v>1805</v>
      </c>
      <c r="CO258" s="213" t="s">
        <v>869</v>
      </c>
      <c r="CP258" s="213" t="s">
        <v>879</v>
      </c>
      <c r="CQ258" s="213" t="s">
        <v>1806</v>
      </c>
      <c r="CR258" s="213" t="s">
        <v>1806</v>
      </c>
      <c r="CS258" s="213" t="s">
        <v>1620</v>
      </c>
      <c r="CT258" s="213" t="s">
        <v>1621</v>
      </c>
      <c r="CU258" s="213" t="s">
        <v>1622</v>
      </c>
      <c r="CV258" s="214" t="s">
        <v>1623</v>
      </c>
      <c r="CX258" s="212">
        <v>1</v>
      </c>
    </row>
    <row r="259" spans="1:102" ht="21" customHeight="1">
      <c r="A259" s="262"/>
      <c r="B259" s="287"/>
      <c r="C259" s="285"/>
      <c r="D259" s="262"/>
      <c r="E259" s="262"/>
      <c r="F259" s="262"/>
      <c r="G259" s="262"/>
      <c r="H259" s="262"/>
      <c r="I259" s="262"/>
      <c r="J259" s="262"/>
      <c r="K259" s="262"/>
      <c r="L259" s="262"/>
      <c r="M259" s="262"/>
      <c r="N259" s="262"/>
      <c r="O259" s="262"/>
      <c r="P259" s="262"/>
      <c r="Q259" s="262"/>
      <c r="R259" s="262"/>
      <c r="S259" s="262"/>
      <c r="CM259" s="210"/>
      <c r="CN259" s="213" t="s">
        <v>1807</v>
      </c>
      <c r="CO259" s="213" t="s">
        <v>869</v>
      </c>
      <c r="CP259" s="213" t="s">
        <v>879</v>
      </c>
      <c r="CQ259" s="213" t="s">
        <v>1808</v>
      </c>
      <c r="CR259" s="213" t="s">
        <v>1808</v>
      </c>
      <c r="CS259" s="213" t="s">
        <v>1620</v>
      </c>
      <c r="CT259" s="213" t="s">
        <v>1628</v>
      </c>
      <c r="CU259" s="213" t="s">
        <v>883</v>
      </c>
      <c r="CV259" s="214" t="s">
        <v>884</v>
      </c>
      <c r="CX259" s="212">
        <v>1</v>
      </c>
    </row>
    <row r="260" spans="1:102" ht="21" customHeight="1">
      <c r="A260" s="262"/>
      <c r="B260" s="280" t="s">
        <v>1809</v>
      </c>
      <c r="C260" s="278" t="s">
        <v>1810</v>
      </c>
      <c r="D260" s="262"/>
      <c r="E260" s="262"/>
      <c r="F260" s="262"/>
      <c r="G260" s="262"/>
      <c r="H260" s="262"/>
      <c r="I260" s="262"/>
      <c r="J260" s="262"/>
      <c r="K260" s="262"/>
      <c r="L260" s="262"/>
      <c r="M260" s="262"/>
      <c r="N260" s="262"/>
      <c r="O260" s="262"/>
      <c r="P260" s="262"/>
      <c r="Q260" s="262"/>
      <c r="R260" s="262"/>
      <c r="S260" s="262"/>
      <c r="CM260" s="210"/>
      <c r="CN260" s="213" t="s">
        <v>1811</v>
      </c>
      <c r="CO260" s="213" t="s">
        <v>869</v>
      </c>
      <c r="CP260" s="213" t="s">
        <v>879</v>
      </c>
      <c r="CQ260" s="213" t="s">
        <v>1812</v>
      </c>
      <c r="CR260" s="213" t="s">
        <v>1812</v>
      </c>
      <c r="CS260" s="213" t="s">
        <v>1620</v>
      </c>
      <c r="CT260" s="213" t="s">
        <v>1621</v>
      </c>
      <c r="CU260" s="213" t="s">
        <v>1622</v>
      </c>
      <c r="CV260" s="214" t="s">
        <v>1623</v>
      </c>
      <c r="CX260" s="212">
        <v>1</v>
      </c>
    </row>
    <row r="261" spans="1:102" ht="21" customHeight="1">
      <c r="A261" s="262"/>
      <c r="B261" s="287"/>
      <c r="C261" s="278" t="s">
        <v>1813</v>
      </c>
      <c r="D261" s="262"/>
      <c r="E261" s="262"/>
      <c r="F261" s="262"/>
      <c r="G261" s="262"/>
      <c r="H261" s="262"/>
      <c r="I261" s="262"/>
      <c r="J261" s="262"/>
      <c r="K261" s="262"/>
      <c r="L261" s="262"/>
      <c r="M261" s="262"/>
      <c r="N261" s="262"/>
      <c r="O261" s="262"/>
      <c r="P261" s="262"/>
      <c r="Q261" s="262"/>
      <c r="R261" s="262"/>
      <c r="S261" s="262"/>
      <c r="CM261" s="210"/>
      <c r="CN261" s="213" t="s">
        <v>1814</v>
      </c>
      <c r="CO261" s="213" t="s">
        <v>869</v>
      </c>
      <c r="CP261" s="213" t="s">
        <v>879</v>
      </c>
      <c r="CQ261" s="213" t="s">
        <v>1815</v>
      </c>
      <c r="CR261" s="213" t="s">
        <v>1815</v>
      </c>
      <c r="CS261" s="213" t="s">
        <v>1620</v>
      </c>
      <c r="CT261" s="213" t="s">
        <v>1621</v>
      </c>
      <c r="CU261" s="213" t="s">
        <v>1622</v>
      </c>
      <c r="CV261" s="214" t="s">
        <v>1623</v>
      </c>
      <c r="CX261" s="212">
        <v>1</v>
      </c>
    </row>
    <row r="262" spans="1:102" ht="21" customHeight="1">
      <c r="A262" s="262"/>
      <c r="B262" s="287"/>
      <c r="C262" s="285"/>
      <c r="D262" s="262"/>
      <c r="E262" s="262"/>
      <c r="F262" s="262"/>
      <c r="G262" s="262"/>
      <c r="H262" s="262"/>
      <c r="I262" s="262"/>
      <c r="J262" s="262"/>
      <c r="K262" s="262"/>
      <c r="L262" s="262"/>
      <c r="M262" s="262"/>
      <c r="N262" s="262"/>
      <c r="O262" s="262"/>
      <c r="P262" s="262"/>
      <c r="Q262" s="262"/>
      <c r="R262" s="262"/>
      <c r="S262" s="262"/>
      <c r="CM262" s="210"/>
      <c r="CN262" s="213" t="s">
        <v>1816</v>
      </c>
      <c r="CO262" s="213" t="s">
        <v>869</v>
      </c>
      <c r="CP262" s="213" t="s">
        <v>879</v>
      </c>
      <c r="CQ262" s="213" t="s">
        <v>1817</v>
      </c>
      <c r="CR262" s="213" t="s">
        <v>1817</v>
      </c>
      <c r="CS262" s="213" t="s">
        <v>1620</v>
      </c>
      <c r="CT262" s="213" t="s">
        <v>1621</v>
      </c>
      <c r="CU262" s="213" t="s">
        <v>1622</v>
      </c>
      <c r="CV262" s="214" t="s">
        <v>1623</v>
      </c>
      <c r="CX262" s="212">
        <v>1</v>
      </c>
    </row>
    <row r="263" spans="1:102" ht="21" customHeight="1">
      <c r="A263" s="262"/>
      <c r="B263" s="288" t="s">
        <v>1818</v>
      </c>
      <c r="C263" s="262"/>
      <c r="D263" s="262"/>
      <c r="E263" s="262"/>
      <c r="F263" s="262"/>
      <c r="G263" s="262"/>
      <c r="H263" s="262"/>
      <c r="I263" s="262"/>
      <c r="J263" s="262"/>
      <c r="K263" s="262"/>
      <c r="L263" s="262"/>
      <c r="M263" s="262"/>
      <c r="N263" s="262"/>
      <c r="O263" s="262"/>
      <c r="P263" s="262"/>
      <c r="Q263" s="262"/>
      <c r="R263" s="262"/>
      <c r="S263" s="262"/>
      <c r="CM263" s="210"/>
      <c r="CN263" s="213" t="s">
        <v>1819</v>
      </c>
      <c r="CO263" s="213" t="s">
        <v>869</v>
      </c>
      <c r="CP263" s="213" t="s">
        <v>879</v>
      </c>
      <c r="CQ263" s="213" t="s">
        <v>1820</v>
      </c>
      <c r="CR263" s="213" t="s">
        <v>1820</v>
      </c>
      <c r="CS263" s="213" t="s">
        <v>1620</v>
      </c>
      <c r="CT263" s="213" t="s">
        <v>1621</v>
      </c>
      <c r="CU263" s="213" t="s">
        <v>1622</v>
      </c>
      <c r="CV263" s="214" t="s">
        <v>1623</v>
      </c>
      <c r="CX263" s="212">
        <v>1</v>
      </c>
    </row>
    <row r="264" spans="1:102" ht="21" customHeight="1">
      <c r="A264" s="262"/>
      <c r="B264" s="224" t="s">
        <v>1821</v>
      </c>
      <c r="C264" s="262"/>
      <c r="D264" s="262"/>
      <c r="E264" s="262"/>
      <c r="F264" s="262"/>
      <c r="G264" s="262"/>
      <c r="H264" s="262"/>
      <c r="I264" s="262"/>
      <c r="J264" s="262"/>
      <c r="K264" s="262"/>
      <c r="L264" s="262"/>
      <c r="M264" s="262"/>
      <c r="N264" s="262"/>
      <c r="O264" s="262"/>
      <c r="P264" s="262"/>
      <c r="Q264" s="262"/>
      <c r="R264" s="262"/>
      <c r="S264" s="262"/>
      <c r="CM264" s="210"/>
      <c r="CN264" s="213" t="s">
        <v>1822</v>
      </c>
      <c r="CO264" s="213" t="s">
        <v>869</v>
      </c>
      <c r="CP264" s="213" t="s">
        <v>879</v>
      </c>
      <c r="CQ264" s="213" t="s">
        <v>1823</v>
      </c>
      <c r="CR264" s="213" t="s">
        <v>1823</v>
      </c>
      <c r="CS264" s="213" t="s">
        <v>1620</v>
      </c>
      <c r="CT264" s="213" t="s">
        <v>1621</v>
      </c>
      <c r="CU264" s="213" t="s">
        <v>1622</v>
      </c>
      <c r="CV264" s="214" t="s">
        <v>1623</v>
      </c>
      <c r="CX264" s="212">
        <v>1</v>
      </c>
    </row>
    <row r="265" spans="1:102" ht="21" customHeight="1">
      <c r="A265" s="262"/>
      <c r="B265" s="224" t="s">
        <v>1824</v>
      </c>
      <c r="C265" s="262"/>
      <c r="D265" s="262"/>
      <c r="E265" s="262"/>
      <c r="F265" s="262"/>
      <c r="G265" s="262"/>
      <c r="H265" s="262"/>
      <c r="I265" s="262"/>
      <c r="J265" s="262"/>
      <c r="K265" s="262"/>
      <c r="L265" s="262"/>
      <c r="M265" s="262"/>
      <c r="N265" s="262"/>
      <c r="O265" s="262"/>
      <c r="P265" s="262"/>
      <c r="Q265" s="262"/>
      <c r="R265" s="262"/>
      <c r="S265" s="262"/>
      <c r="CM265" s="210"/>
      <c r="CN265" s="213" t="s">
        <v>1825</v>
      </c>
      <c r="CO265" s="213" t="s">
        <v>869</v>
      </c>
      <c r="CP265" s="213" t="s">
        <v>879</v>
      </c>
      <c r="CQ265" s="213" t="s">
        <v>1826</v>
      </c>
      <c r="CR265" s="213" t="s">
        <v>1826</v>
      </c>
      <c r="CS265" s="213" t="s">
        <v>1620</v>
      </c>
      <c r="CT265" s="213" t="s">
        <v>1621</v>
      </c>
      <c r="CU265" s="213" t="s">
        <v>1622</v>
      </c>
      <c r="CV265" s="214" t="s">
        <v>1623</v>
      </c>
      <c r="CX265" s="212">
        <v>1</v>
      </c>
    </row>
    <row r="266" spans="1:102" ht="21" customHeight="1">
      <c r="A266" s="262"/>
      <c r="B266" s="224" t="s">
        <v>1827</v>
      </c>
      <c r="C266" s="262"/>
      <c r="D266" s="262"/>
      <c r="E266" s="262"/>
      <c r="F266" s="262"/>
      <c r="G266" s="262"/>
      <c r="H266" s="262"/>
      <c r="I266" s="262"/>
      <c r="J266" s="262"/>
      <c r="K266" s="262"/>
      <c r="L266" s="262"/>
      <c r="M266" s="262"/>
      <c r="N266" s="262"/>
      <c r="O266" s="262"/>
      <c r="P266" s="262"/>
      <c r="Q266" s="262"/>
      <c r="R266" s="262"/>
      <c r="S266" s="262"/>
      <c r="CM266" s="210"/>
      <c r="CN266" s="213" t="s">
        <v>1828</v>
      </c>
      <c r="CO266" s="213" t="s">
        <v>869</v>
      </c>
      <c r="CP266" s="213" t="s">
        <v>879</v>
      </c>
      <c r="CQ266" s="213" t="s">
        <v>1829</v>
      </c>
      <c r="CR266" s="213" t="s">
        <v>1829</v>
      </c>
      <c r="CS266" s="213" t="s">
        <v>1620</v>
      </c>
      <c r="CT266" s="213" t="s">
        <v>1621</v>
      </c>
      <c r="CU266" s="213" t="s">
        <v>1622</v>
      </c>
      <c r="CV266" s="214" t="s">
        <v>1623</v>
      </c>
      <c r="CX266" s="212">
        <v>1</v>
      </c>
    </row>
    <row r="267" spans="1:102" ht="21" customHeight="1">
      <c r="A267" s="262"/>
      <c r="B267" s="224" t="s">
        <v>1830</v>
      </c>
      <c r="C267" s="262"/>
      <c r="D267" s="262"/>
      <c r="E267" s="262"/>
      <c r="F267" s="262"/>
      <c r="G267" s="262"/>
      <c r="H267" s="262"/>
      <c r="I267" s="262"/>
      <c r="J267" s="262"/>
      <c r="K267" s="262"/>
      <c r="L267" s="262"/>
      <c r="M267" s="262"/>
      <c r="N267" s="262"/>
      <c r="O267" s="262"/>
      <c r="P267" s="262"/>
      <c r="Q267" s="262"/>
      <c r="R267" s="262"/>
      <c r="S267" s="262"/>
      <c r="CM267" s="210"/>
      <c r="CN267" s="213" t="s">
        <v>1831</v>
      </c>
      <c r="CO267" s="213" t="s">
        <v>869</v>
      </c>
      <c r="CP267" s="213" t="s">
        <v>879</v>
      </c>
      <c r="CQ267" s="213" t="s">
        <v>1832</v>
      </c>
      <c r="CR267" s="213" t="s">
        <v>1833</v>
      </c>
      <c r="CS267" s="213" t="s">
        <v>1620</v>
      </c>
      <c r="CT267" s="213" t="s">
        <v>1628</v>
      </c>
      <c r="CU267" s="213" t="s">
        <v>883</v>
      </c>
      <c r="CV267" s="214" t="s">
        <v>884</v>
      </c>
      <c r="CX267" s="212">
        <v>1</v>
      </c>
    </row>
    <row r="268" spans="1:102" ht="21" customHeight="1">
      <c r="A268" s="262"/>
      <c r="B268" s="224" t="s">
        <v>1834</v>
      </c>
      <c r="C268" s="262"/>
      <c r="D268" s="262"/>
      <c r="E268" s="262"/>
      <c r="F268" s="262"/>
      <c r="G268" s="262"/>
      <c r="H268" s="262"/>
      <c r="I268" s="262"/>
      <c r="J268" s="262"/>
      <c r="K268" s="262"/>
      <c r="L268" s="262"/>
      <c r="M268" s="262"/>
      <c r="N268" s="262"/>
      <c r="O268" s="262"/>
      <c r="P268" s="262"/>
      <c r="Q268" s="262"/>
      <c r="R268" s="262"/>
      <c r="S268" s="262"/>
      <c r="CM268" s="210"/>
      <c r="CN268" s="213" t="s">
        <v>1835</v>
      </c>
      <c r="CO268" s="213" t="s">
        <v>869</v>
      </c>
      <c r="CP268" s="213" t="s">
        <v>879</v>
      </c>
      <c r="CQ268" s="213" t="s">
        <v>1836</v>
      </c>
      <c r="CR268" s="213" t="s">
        <v>1836</v>
      </c>
      <c r="CS268" s="213" t="s">
        <v>1620</v>
      </c>
      <c r="CT268" s="213" t="s">
        <v>1621</v>
      </c>
      <c r="CU268" s="213" t="s">
        <v>1622</v>
      </c>
      <c r="CV268" s="214" t="s">
        <v>1623</v>
      </c>
      <c r="CX268" s="212">
        <v>1</v>
      </c>
    </row>
    <row r="269" spans="1:102" ht="21" customHeight="1">
      <c r="A269" s="262"/>
      <c r="B269" s="224" t="s">
        <v>1837</v>
      </c>
      <c r="C269" s="262"/>
      <c r="D269" s="262"/>
      <c r="E269" s="262"/>
      <c r="F269" s="262"/>
      <c r="G269" s="262"/>
      <c r="H269" s="262"/>
      <c r="I269" s="262"/>
      <c r="J269" s="262"/>
      <c r="K269" s="262"/>
      <c r="L269" s="262"/>
      <c r="M269" s="262"/>
      <c r="N269" s="262"/>
      <c r="O269" s="262"/>
      <c r="P269" s="262"/>
      <c r="Q269" s="262"/>
      <c r="R269" s="262"/>
      <c r="S269" s="262"/>
      <c r="CM269" s="210"/>
      <c r="CN269" s="213" t="s">
        <v>1838</v>
      </c>
      <c r="CO269" s="213" t="s">
        <v>869</v>
      </c>
      <c r="CP269" s="213" t="s">
        <v>879</v>
      </c>
      <c r="CQ269" s="213" t="s">
        <v>1839</v>
      </c>
      <c r="CR269" s="213" t="s">
        <v>1840</v>
      </c>
      <c r="CS269" s="213" t="s">
        <v>1620</v>
      </c>
      <c r="CT269" s="213" t="s">
        <v>1628</v>
      </c>
      <c r="CU269" s="213" t="s">
        <v>883</v>
      </c>
      <c r="CV269" s="214" t="s">
        <v>884</v>
      </c>
      <c r="CX269" s="212">
        <v>1</v>
      </c>
    </row>
    <row r="270" spans="1:102" ht="21" customHeight="1">
      <c r="A270" s="262"/>
      <c r="B270" s="224" t="s">
        <v>1841</v>
      </c>
      <c r="C270" s="262"/>
      <c r="D270" s="262"/>
      <c r="E270" s="262"/>
      <c r="F270" s="262"/>
      <c r="G270" s="262"/>
      <c r="H270" s="262"/>
      <c r="I270" s="262"/>
      <c r="J270" s="262"/>
      <c r="K270" s="262"/>
      <c r="L270" s="262"/>
      <c r="M270" s="262"/>
      <c r="N270" s="262"/>
      <c r="O270" s="262"/>
      <c r="P270" s="262"/>
      <c r="Q270" s="262"/>
      <c r="R270" s="262"/>
      <c r="S270" s="262"/>
      <c r="CM270" s="210"/>
      <c r="CN270" s="213" t="s">
        <v>1842</v>
      </c>
      <c r="CO270" s="213" t="s">
        <v>869</v>
      </c>
      <c r="CP270" s="213" t="s">
        <v>879</v>
      </c>
      <c r="CQ270" s="213" t="s">
        <v>1843</v>
      </c>
      <c r="CR270" s="213" t="s">
        <v>1844</v>
      </c>
      <c r="CS270" s="213" t="s">
        <v>1620</v>
      </c>
      <c r="CT270" s="213" t="s">
        <v>1628</v>
      </c>
      <c r="CU270" s="213" t="s">
        <v>883</v>
      </c>
      <c r="CV270" s="214" t="s">
        <v>884</v>
      </c>
      <c r="CX270" s="212">
        <v>1</v>
      </c>
    </row>
    <row r="271" spans="1:102" ht="21" customHeight="1">
      <c r="A271" s="262"/>
      <c r="B271" s="224" t="s">
        <v>1845</v>
      </c>
      <c r="C271" s="262"/>
      <c r="D271" s="262"/>
      <c r="E271" s="262"/>
      <c r="F271" s="262"/>
      <c r="G271" s="262"/>
      <c r="H271" s="262"/>
      <c r="I271" s="262"/>
      <c r="J271" s="262"/>
      <c r="K271" s="262"/>
      <c r="L271" s="262"/>
      <c r="M271" s="262"/>
      <c r="N271" s="262"/>
      <c r="O271" s="262"/>
      <c r="P271" s="262"/>
      <c r="Q271" s="262"/>
      <c r="R271" s="262"/>
      <c r="S271" s="262"/>
      <c r="CM271" s="210"/>
      <c r="CN271" s="213" t="s">
        <v>1846</v>
      </c>
      <c r="CO271" s="213" t="s">
        <v>869</v>
      </c>
      <c r="CP271" s="213" t="s">
        <v>879</v>
      </c>
      <c r="CQ271" s="213" t="s">
        <v>1847</v>
      </c>
      <c r="CR271" s="213" t="s">
        <v>1847</v>
      </c>
      <c r="CS271" s="213" t="s">
        <v>1620</v>
      </c>
      <c r="CT271" s="213" t="s">
        <v>1621</v>
      </c>
      <c r="CU271" s="213" t="s">
        <v>1622</v>
      </c>
      <c r="CV271" s="214" t="s">
        <v>1623</v>
      </c>
      <c r="CX271" s="212">
        <v>1</v>
      </c>
    </row>
    <row r="272" spans="1:102" ht="21" customHeight="1">
      <c r="A272" s="262"/>
      <c r="B272" s="224" t="s">
        <v>1848</v>
      </c>
      <c r="C272" s="262"/>
      <c r="D272" s="262"/>
      <c r="E272" s="262"/>
      <c r="F272" s="262"/>
      <c r="G272" s="262"/>
      <c r="H272" s="262"/>
      <c r="I272" s="262"/>
      <c r="J272" s="262"/>
      <c r="K272" s="262"/>
      <c r="L272" s="262"/>
      <c r="M272" s="262"/>
      <c r="N272" s="262"/>
      <c r="O272" s="262"/>
      <c r="P272" s="262"/>
      <c r="Q272" s="262"/>
      <c r="R272" s="262"/>
      <c r="S272" s="262"/>
      <c r="CM272" s="210"/>
      <c r="CN272" s="213" t="s">
        <v>1849</v>
      </c>
      <c r="CO272" s="213" t="s">
        <v>869</v>
      </c>
      <c r="CP272" s="213" t="s">
        <v>879</v>
      </c>
      <c r="CQ272" s="213" t="s">
        <v>1850</v>
      </c>
      <c r="CR272" s="213" t="s">
        <v>1850</v>
      </c>
      <c r="CS272" s="213" t="s">
        <v>1620</v>
      </c>
      <c r="CT272" s="213" t="s">
        <v>1621</v>
      </c>
      <c r="CU272" s="213" t="s">
        <v>1622</v>
      </c>
      <c r="CV272" s="214" t="s">
        <v>1623</v>
      </c>
      <c r="CX272" s="212">
        <v>1</v>
      </c>
    </row>
    <row r="273" spans="1:102" ht="21" customHeight="1">
      <c r="A273" s="262"/>
      <c r="B273" s="224"/>
      <c r="C273" s="262"/>
      <c r="D273" s="262"/>
      <c r="E273" s="262"/>
      <c r="F273" s="262"/>
      <c r="G273" s="262"/>
      <c r="H273" s="262"/>
      <c r="I273" s="262"/>
      <c r="J273" s="262"/>
      <c r="K273" s="262"/>
      <c r="L273" s="262"/>
      <c r="M273" s="262"/>
      <c r="N273" s="262"/>
      <c r="O273" s="262"/>
      <c r="P273" s="262"/>
      <c r="Q273" s="262"/>
      <c r="R273" s="262"/>
      <c r="S273" s="262"/>
      <c r="CM273" s="210"/>
      <c r="CN273" s="213" t="s">
        <v>1851</v>
      </c>
      <c r="CO273" s="213" t="s">
        <v>869</v>
      </c>
      <c r="CP273" s="213" t="s">
        <v>879</v>
      </c>
      <c r="CQ273" s="213" t="s">
        <v>1852</v>
      </c>
      <c r="CR273" s="213" t="s">
        <v>1852</v>
      </c>
      <c r="CS273" s="213" t="s">
        <v>1620</v>
      </c>
      <c r="CT273" s="213" t="s">
        <v>1621</v>
      </c>
      <c r="CU273" s="213" t="s">
        <v>1622</v>
      </c>
      <c r="CV273" s="214" t="s">
        <v>1623</v>
      </c>
      <c r="CX273" s="212">
        <v>1</v>
      </c>
    </row>
    <row r="274" spans="1:102" ht="21" customHeight="1">
      <c r="CM274" s="210"/>
      <c r="CN274" s="213" t="s">
        <v>1853</v>
      </c>
      <c r="CO274" s="213" t="s">
        <v>869</v>
      </c>
      <c r="CP274" s="213" t="s">
        <v>879</v>
      </c>
      <c r="CQ274" s="213" t="s">
        <v>1854</v>
      </c>
      <c r="CR274" s="213" t="s">
        <v>1854</v>
      </c>
      <c r="CS274" s="213" t="s">
        <v>1620</v>
      </c>
      <c r="CT274" s="213" t="s">
        <v>1621</v>
      </c>
      <c r="CU274" s="213" t="s">
        <v>1622</v>
      </c>
      <c r="CV274" s="214" t="s">
        <v>1623</v>
      </c>
      <c r="CX274" s="212">
        <v>1</v>
      </c>
    </row>
    <row r="275" spans="1:102" ht="21" customHeight="1">
      <c r="CM275" s="210"/>
      <c r="CN275" s="213" t="s">
        <v>1855</v>
      </c>
      <c r="CO275" s="213" t="s">
        <v>869</v>
      </c>
      <c r="CP275" s="213" t="s">
        <v>879</v>
      </c>
      <c r="CQ275" s="213" t="s">
        <v>1856</v>
      </c>
      <c r="CR275" s="213" t="s">
        <v>1856</v>
      </c>
      <c r="CS275" s="213" t="s">
        <v>1620</v>
      </c>
      <c r="CT275" s="213" t="s">
        <v>1628</v>
      </c>
      <c r="CU275" s="213" t="s">
        <v>883</v>
      </c>
      <c r="CV275" s="214" t="s">
        <v>884</v>
      </c>
      <c r="CX275" s="212">
        <v>1</v>
      </c>
    </row>
    <row r="276" spans="1:102" ht="21" customHeight="1">
      <c r="CM276" s="210"/>
      <c r="CN276" s="213" t="s">
        <v>1857</v>
      </c>
      <c r="CO276" s="213" t="s">
        <v>869</v>
      </c>
      <c r="CP276" s="213" t="s">
        <v>879</v>
      </c>
      <c r="CQ276" s="213" t="s">
        <v>1858</v>
      </c>
      <c r="CR276" s="213" t="s">
        <v>1858</v>
      </c>
      <c r="CS276" s="213" t="s">
        <v>1620</v>
      </c>
      <c r="CT276" s="213" t="s">
        <v>1628</v>
      </c>
      <c r="CU276" s="213" t="s">
        <v>883</v>
      </c>
      <c r="CV276" s="214" t="s">
        <v>884</v>
      </c>
      <c r="CX276" s="212">
        <v>1</v>
      </c>
    </row>
    <row r="277" spans="1:102" ht="21" customHeight="1">
      <c r="CM277" s="210"/>
      <c r="CN277" s="213" t="s">
        <v>1859</v>
      </c>
      <c r="CO277" s="213" t="s">
        <v>869</v>
      </c>
      <c r="CP277" s="213" t="s">
        <v>879</v>
      </c>
      <c r="CQ277" s="213" t="s">
        <v>1860</v>
      </c>
      <c r="CR277" s="213" t="s">
        <v>1860</v>
      </c>
      <c r="CS277" s="213" t="s">
        <v>1620</v>
      </c>
      <c r="CT277" s="213" t="s">
        <v>1621</v>
      </c>
      <c r="CU277" s="213" t="s">
        <v>1622</v>
      </c>
      <c r="CV277" s="214" t="s">
        <v>1623</v>
      </c>
      <c r="CX277" s="212">
        <v>1</v>
      </c>
    </row>
    <row r="278" spans="1:102" ht="21" customHeight="1">
      <c r="CM278" s="210"/>
      <c r="CN278" s="213" t="s">
        <v>1861</v>
      </c>
      <c r="CO278" s="213" t="s">
        <v>869</v>
      </c>
      <c r="CP278" s="213" t="s">
        <v>879</v>
      </c>
      <c r="CQ278" s="213" t="s">
        <v>1862</v>
      </c>
      <c r="CR278" s="213" t="s">
        <v>1862</v>
      </c>
      <c r="CS278" s="213" t="s">
        <v>1620</v>
      </c>
      <c r="CT278" s="213" t="s">
        <v>1621</v>
      </c>
      <c r="CU278" s="213" t="s">
        <v>1622</v>
      </c>
      <c r="CV278" s="214" t="s">
        <v>1623</v>
      </c>
      <c r="CX278" s="212">
        <v>1</v>
      </c>
    </row>
    <row r="279" spans="1:102" ht="21" customHeight="1">
      <c r="CM279" s="210"/>
      <c r="CN279" s="213" t="s">
        <v>1863</v>
      </c>
      <c r="CO279" s="213" t="s">
        <v>869</v>
      </c>
      <c r="CP279" s="213" t="s">
        <v>879</v>
      </c>
      <c r="CQ279" s="213" t="s">
        <v>1864</v>
      </c>
      <c r="CR279" s="213" t="s">
        <v>1864</v>
      </c>
      <c r="CS279" s="213" t="s">
        <v>1620</v>
      </c>
      <c r="CT279" s="213" t="s">
        <v>1621</v>
      </c>
      <c r="CU279" s="213" t="s">
        <v>1622</v>
      </c>
      <c r="CV279" s="214" t="s">
        <v>1623</v>
      </c>
      <c r="CX279" s="212">
        <v>1</v>
      </c>
    </row>
    <row r="280" spans="1:102" ht="21" customHeight="1">
      <c r="CM280" s="210"/>
      <c r="CN280" s="213" t="s">
        <v>1865</v>
      </c>
      <c r="CO280" s="213" t="s">
        <v>869</v>
      </c>
      <c r="CP280" s="213" t="s">
        <v>879</v>
      </c>
      <c r="CQ280" s="213" t="s">
        <v>1866</v>
      </c>
      <c r="CR280" s="213" t="s">
        <v>1866</v>
      </c>
      <c r="CS280" s="213" t="s">
        <v>1620</v>
      </c>
      <c r="CT280" s="213" t="s">
        <v>1621</v>
      </c>
      <c r="CU280" s="213" t="s">
        <v>1622</v>
      </c>
      <c r="CV280" s="214" t="s">
        <v>1623</v>
      </c>
      <c r="CX280" s="212">
        <v>1</v>
      </c>
    </row>
    <row r="281" spans="1:102" ht="21" customHeight="1">
      <c r="CM281" s="210"/>
      <c r="CN281" s="213" t="s">
        <v>1867</v>
      </c>
      <c r="CO281" s="213" t="s">
        <v>869</v>
      </c>
      <c r="CP281" s="213" t="s">
        <v>879</v>
      </c>
      <c r="CQ281" s="213" t="s">
        <v>1868</v>
      </c>
      <c r="CR281" s="213" t="s">
        <v>1868</v>
      </c>
      <c r="CS281" s="213" t="s">
        <v>1620</v>
      </c>
      <c r="CT281" s="213" t="s">
        <v>1621</v>
      </c>
      <c r="CU281" s="213" t="s">
        <v>1622</v>
      </c>
      <c r="CV281" s="214" t="s">
        <v>1623</v>
      </c>
      <c r="CX281" s="212">
        <v>1</v>
      </c>
    </row>
    <row r="282" spans="1:102" ht="21" customHeight="1">
      <c r="CM282" s="210"/>
      <c r="CN282" s="213" t="s">
        <v>1869</v>
      </c>
      <c r="CO282" s="213" t="s">
        <v>869</v>
      </c>
      <c r="CP282" s="213" t="s">
        <v>879</v>
      </c>
      <c r="CQ282" s="213" t="s">
        <v>1870</v>
      </c>
      <c r="CR282" s="213" t="s">
        <v>1870</v>
      </c>
      <c r="CS282" s="213" t="s">
        <v>1620</v>
      </c>
      <c r="CT282" s="213" t="s">
        <v>1628</v>
      </c>
      <c r="CU282" s="213" t="s">
        <v>883</v>
      </c>
      <c r="CV282" s="214" t="s">
        <v>884</v>
      </c>
      <c r="CX282" s="212">
        <v>1</v>
      </c>
    </row>
    <row r="283" spans="1:102" ht="21" customHeight="1">
      <c r="CM283" s="210"/>
      <c r="CN283" s="213" t="s">
        <v>1871</v>
      </c>
      <c r="CO283" s="213" t="s">
        <v>869</v>
      </c>
      <c r="CP283" s="213" t="s">
        <v>879</v>
      </c>
      <c r="CQ283" s="213" t="s">
        <v>1872</v>
      </c>
      <c r="CR283" s="213" t="s">
        <v>1872</v>
      </c>
      <c r="CS283" s="213" t="s">
        <v>1620</v>
      </c>
      <c r="CT283" s="213" t="s">
        <v>1621</v>
      </c>
      <c r="CU283" s="213" t="s">
        <v>1622</v>
      </c>
      <c r="CV283" s="214" t="s">
        <v>1623</v>
      </c>
      <c r="CX283" s="212">
        <v>1</v>
      </c>
    </row>
    <row r="284" spans="1:102" ht="21" customHeight="1">
      <c r="CM284" s="210"/>
      <c r="CN284" s="213" t="s">
        <v>1873</v>
      </c>
      <c r="CO284" s="213" t="s">
        <v>869</v>
      </c>
      <c r="CP284" s="213" t="s">
        <v>879</v>
      </c>
      <c r="CQ284" s="213" t="s">
        <v>1874</v>
      </c>
      <c r="CR284" s="213" t="s">
        <v>1874</v>
      </c>
      <c r="CS284" s="213" t="s">
        <v>1620</v>
      </c>
      <c r="CT284" s="213" t="s">
        <v>1621</v>
      </c>
      <c r="CU284" s="213" t="s">
        <v>1622</v>
      </c>
      <c r="CV284" s="214" t="s">
        <v>1623</v>
      </c>
      <c r="CX284" s="212">
        <v>1</v>
      </c>
    </row>
    <row r="285" spans="1:102" ht="21" customHeight="1">
      <c r="CM285" s="210"/>
      <c r="CN285" s="213" t="s">
        <v>1875</v>
      </c>
      <c r="CO285" s="213" t="s">
        <v>869</v>
      </c>
      <c r="CP285" s="213" t="s">
        <v>879</v>
      </c>
      <c r="CQ285" s="213" t="s">
        <v>1876</v>
      </c>
      <c r="CR285" s="213" t="s">
        <v>1877</v>
      </c>
      <c r="CS285" s="213" t="s">
        <v>1620</v>
      </c>
      <c r="CT285" s="213" t="s">
        <v>1628</v>
      </c>
      <c r="CU285" s="213" t="s">
        <v>883</v>
      </c>
      <c r="CV285" s="214" t="s">
        <v>884</v>
      </c>
      <c r="CX285" s="212">
        <v>1</v>
      </c>
    </row>
    <row r="286" spans="1:102" ht="21" customHeight="1">
      <c r="CM286" s="210"/>
      <c r="CN286" s="213" t="s">
        <v>1878</v>
      </c>
      <c r="CO286" s="213" t="s">
        <v>869</v>
      </c>
      <c r="CP286" s="213" t="s">
        <v>879</v>
      </c>
      <c r="CQ286" s="213" t="s">
        <v>1879</v>
      </c>
      <c r="CR286" s="213" t="s">
        <v>1879</v>
      </c>
      <c r="CS286" s="213" t="s">
        <v>1620</v>
      </c>
      <c r="CT286" s="213" t="s">
        <v>1621</v>
      </c>
      <c r="CU286" s="213" t="s">
        <v>1622</v>
      </c>
      <c r="CV286" s="214" t="s">
        <v>1623</v>
      </c>
      <c r="CX286" s="212">
        <v>1</v>
      </c>
    </row>
    <row r="287" spans="1:102" ht="21" customHeight="1">
      <c r="CM287" s="210"/>
      <c r="CN287" s="213" t="s">
        <v>1880</v>
      </c>
      <c r="CO287" s="213" t="s">
        <v>869</v>
      </c>
      <c r="CP287" s="213" t="s">
        <v>879</v>
      </c>
      <c r="CQ287" s="213" t="s">
        <v>1881</v>
      </c>
      <c r="CR287" s="213" t="s">
        <v>1881</v>
      </c>
      <c r="CS287" s="213" t="s">
        <v>1620</v>
      </c>
      <c r="CT287" s="213" t="s">
        <v>1621</v>
      </c>
      <c r="CU287" s="213" t="s">
        <v>1622</v>
      </c>
      <c r="CV287" s="214" t="s">
        <v>1623</v>
      </c>
      <c r="CX287" s="212">
        <v>1</v>
      </c>
    </row>
    <row r="288" spans="1:102" ht="21" customHeight="1">
      <c r="CM288" s="210"/>
      <c r="CN288" s="213" t="s">
        <v>1882</v>
      </c>
      <c r="CO288" s="213" t="s">
        <v>869</v>
      </c>
      <c r="CP288" s="213" t="s">
        <v>879</v>
      </c>
      <c r="CQ288" s="213" t="s">
        <v>1883</v>
      </c>
      <c r="CR288" s="213" t="s">
        <v>1883</v>
      </c>
      <c r="CS288" s="213" t="s">
        <v>1620</v>
      </c>
      <c r="CT288" s="213" t="s">
        <v>1621</v>
      </c>
      <c r="CU288" s="213" t="s">
        <v>1622</v>
      </c>
      <c r="CV288" s="214" t="s">
        <v>1623</v>
      </c>
      <c r="CX288" s="212">
        <v>1</v>
      </c>
    </row>
    <row r="289" spans="91:102" ht="21" customHeight="1">
      <c r="CM289" s="210"/>
      <c r="CN289" s="213" t="s">
        <v>1884</v>
      </c>
      <c r="CO289" s="213" t="s">
        <v>869</v>
      </c>
      <c r="CP289" s="213" t="s">
        <v>879</v>
      </c>
      <c r="CQ289" s="213" t="s">
        <v>1885</v>
      </c>
      <c r="CR289" s="213" t="s">
        <v>1885</v>
      </c>
      <c r="CS289" s="213" t="s">
        <v>1620</v>
      </c>
      <c r="CT289" s="213" t="s">
        <v>1621</v>
      </c>
      <c r="CU289" s="213" t="s">
        <v>1622</v>
      </c>
      <c r="CV289" s="214" t="s">
        <v>1623</v>
      </c>
      <c r="CX289" s="212">
        <v>1</v>
      </c>
    </row>
    <row r="290" spans="91:102" ht="21" customHeight="1">
      <c r="CM290" s="210"/>
      <c r="CN290" s="213" t="s">
        <v>1886</v>
      </c>
      <c r="CO290" s="213" t="s">
        <v>869</v>
      </c>
      <c r="CP290" s="213" t="s">
        <v>879</v>
      </c>
      <c r="CQ290" s="213" t="s">
        <v>1887</v>
      </c>
      <c r="CR290" s="213" t="s">
        <v>1887</v>
      </c>
      <c r="CS290" s="213" t="s">
        <v>1620</v>
      </c>
      <c r="CT290" s="213" t="s">
        <v>1621</v>
      </c>
      <c r="CU290" s="213" t="s">
        <v>1622</v>
      </c>
      <c r="CV290" s="214" t="s">
        <v>1623</v>
      </c>
      <c r="CX290" s="212">
        <v>1</v>
      </c>
    </row>
    <row r="291" spans="91:102" ht="21" customHeight="1">
      <c r="CM291" s="210"/>
      <c r="CN291" s="213" t="s">
        <v>1888</v>
      </c>
      <c r="CO291" s="213" t="s">
        <v>869</v>
      </c>
      <c r="CP291" s="213" t="s">
        <v>879</v>
      </c>
      <c r="CQ291" s="213" t="s">
        <v>1889</v>
      </c>
      <c r="CR291" s="213" t="s">
        <v>1889</v>
      </c>
      <c r="CS291" s="213" t="s">
        <v>1620</v>
      </c>
      <c r="CT291" s="213" t="s">
        <v>1621</v>
      </c>
      <c r="CU291" s="213" t="s">
        <v>1622</v>
      </c>
      <c r="CV291" s="214" t="s">
        <v>1623</v>
      </c>
      <c r="CX291" s="212">
        <v>1</v>
      </c>
    </row>
    <row r="292" spans="91:102" ht="21" customHeight="1">
      <c r="CM292" s="210"/>
      <c r="CN292" s="213" t="s">
        <v>1890</v>
      </c>
      <c r="CO292" s="213" t="s">
        <v>869</v>
      </c>
      <c r="CP292" s="213" t="s">
        <v>879</v>
      </c>
      <c r="CQ292" s="213" t="s">
        <v>1891</v>
      </c>
      <c r="CR292" s="213" t="s">
        <v>1891</v>
      </c>
      <c r="CS292" s="213" t="s">
        <v>1620</v>
      </c>
      <c r="CT292" s="213" t="s">
        <v>1621</v>
      </c>
      <c r="CU292" s="213" t="s">
        <v>1622</v>
      </c>
      <c r="CV292" s="214" t="s">
        <v>1623</v>
      </c>
      <c r="CX292" s="212">
        <v>1</v>
      </c>
    </row>
    <row r="293" spans="91:102" ht="21" customHeight="1">
      <c r="CM293" s="210"/>
      <c r="CN293" s="213" t="s">
        <v>1892</v>
      </c>
      <c r="CO293" s="213" t="s">
        <v>869</v>
      </c>
      <c r="CP293" s="213" t="s">
        <v>879</v>
      </c>
      <c r="CQ293" s="213" t="s">
        <v>1893</v>
      </c>
      <c r="CR293" s="213" t="s">
        <v>1893</v>
      </c>
      <c r="CS293" s="213" t="s">
        <v>1620</v>
      </c>
      <c r="CT293" s="213" t="s">
        <v>1621</v>
      </c>
      <c r="CU293" s="213" t="s">
        <v>1622</v>
      </c>
      <c r="CV293" s="214" t="s">
        <v>1623</v>
      </c>
      <c r="CX293" s="212">
        <v>1</v>
      </c>
    </row>
    <row r="294" spans="91:102" ht="21" customHeight="1">
      <c r="CM294" s="210"/>
      <c r="CN294" s="213" t="s">
        <v>1894</v>
      </c>
      <c r="CO294" s="213" t="s">
        <v>869</v>
      </c>
      <c r="CP294" s="213" t="s">
        <v>879</v>
      </c>
      <c r="CQ294" s="213" t="s">
        <v>1895</v>
      </c>
      <c r="CR294" s="213" t="s">
        <v>1895</v>
      </c>
      <c r="CS294" s="213" t="s">
        <v>1620</v>
      </c>
      <c r="CT294" s="213" t="s">
        <v>1621</v>
      </c>
      <c r="CU294" s="213" t="s">
        <v>1622</v>
      </c>
      <c r="CV294" s="214" t="s">
        <v>1623</v>
      </c>
      <c r="CX294" s="212">
        <v>1</v>
      </c>
    </row>
    <row r="295" spans="91:102" ht="21" customHeight="1">
      <c r="CM295" s="210"/>
      <c r="CN295" s="213" t="s">
        <v>1896</v>
      </c>
      <c r="CO295" s="213" t="s">
        <v>869</v>
      </c>
      <c r="CP295" s="213" t="s">
        <v>879</v>
      </c>
      <c r="CQ295" s="213" t="s">
        <v>1897</v>
      </c>
      <c r="CR295" s="213" t="s">
        <v>1897</v>
      </c>
      <c r="CS295" s="213" t="s">
        <v>1620</v>
      </c>
      <c r="CT295" s="213" t="s">
        <v>1621</v>
      </c>
      <c r="CU295" s="213" t="s">
        <v>1622</v>
      </c>
      <c r="CV295" s="214" t="s">
        <v>1623</v>
      </c>
      <c r="CX295" s="212">
        <v>1</v>
      </c>
    </row>
    <row r="296" spans="91:102" ht="21" customHeight="1">
      <c r="CM296" s="210"/>
      <c r="CN296" s="213" t="s">
        <v>1898</v>
      </c>
      <c r="CO296" s="213" t="s">
        <v>869</v>
      </c>
      <c r="CP296" s="213" t="s">
        <v>879</v>
      </c>
      <c r="CQ296" s="213" t="s">
        <v>1899</v>
      </c>
      <c r="CR296" s="213" t="s">
        <v>1899</v>
      </c>
      <c r="CS296" s="213" t="s">
        <v>1620</v>
      </c>
      <c r="CT296" s="213" t="s">
        <v>1621</v>
      </c>
      <c r="CU296" s="213" t="s">
        <v>1622</v>
      </c>
      <c r="CV296" s="214" t="s">
        <v>1623</v>
      </c>
      <c r="CX296" s="212">
        <v>1</v>
      </c>
    </row>
    <row r="297" spans="91:102" ht="21" customHeight="1">
      <c r="CM297" s="210"/>
      <c r="CN297" s="213" t="s">
        <v>1900</v>
      </c>
      <c r="CO297" s="213" t="s">
        <v>869</v>
      </c>
      <c r="CP297" s="213" t="s">
        <v>879</v>
      </c>
      <c r="CQ297" s="213" t="s">
        <v>1901</v>
      </c>
      <c r="CR297" s="213" t="s">
        <v>1901</v>
      </c>
      <c r="CS297" s="213" t="s">
        <v>1620</v>
      </c>
      <c r="CT297" s="213" t="s">
        <v>1621</v>
      </c>
      <c r="CU297" s="213" t="s">
        <v>1622</v>
      </c>
      <c r="CV297" s="214" t="s">
        <v>1623</v>
      </c>
      <c r="CX297" s="212">
        <v>1</v>
      </c>
    </row>
    <row r="298" spans="91:102" ht="21" customHeight="1">
      <c r="CM298" s="210"/>
      <c r="CN298" s="213" t="s">
        <v>1902</v>
      </c>
      <c r="CO298" s="213" t="s">
        <v>869</v>
      </c>
      <c r="CP298" s="213" t="s">
        <v>879</v>
      </c>
      <c r="CQ298" s="213" t="s">
        <v>1903</v>
      </c>
      <c r="CR298" s="213" t="s">
        <v>1903</v>
      </c>
      <c r="CS298" s="213" t="s">
        <v>1620</v>
      </c>
      <c r="CT298" s="213" t="s">
        <v>1621</v>
      </c>
      <c r="CU298" s="213" t="s">
        <v>1622</v>
      </c>
      <c r="CV298" s="214" t="s">
        <v>1623</v>
      </c>
      <c r="CX298" s="212">
        <v>1</v>
      </c>
    </row>
    <row r="299" spans="91:102" ht="21" customHeight="1">
      <c r="CM299" s="210"/>
      <c r="CN299" s="213" t="s">
        <v>1904</v>
      </c>
      <c r="CO299" s="213" t="s">
        <v>869</v>
      </c>
      <c r="CP299" s="213" t="s">
        <v>879</v>
      </c>
      <c r="CQ299" s="213" t="s">
        <v>1905</v>
      </c>
      <c r="CR299" s="213" t="s">
        <v>1905</v>
      </c>
      <c r="CS299" s="213" t="s">
        <v>1620</v>
      </c>
      <c r="CT299" s="213" t="s">
        <v>1621</v>
      </c>
      <c r="CU299" s="213" t="s">
        <v>1622</v>
      </c>
      <c r="CV299" s="214" t="s">
        <v>1623</v>
      </c>
      <c r="CX299" s="212">
        <v>1</v>
      </c>
    </row>
    <row r="300" spans="91:102" ht="21" customHeight="1">
      <c r="CM300" s="210"/>
      <c r="CN300" s="213" t="s">
        <v>1906</v>
      </c>
      <c r="CO300" s="213" t="s">
        <v>869</v>
      </c>
      <c r="CP300" s="213" t="s">
        <v>879</v>
      </c>
      <c r="CQ300" s="213" t="s">
        <v>1907</v>
      </c>
      <c r="CR300" s="213" t="s">
        <v>1907</v>
      </c>
      <c r="CS300" s="213" t="s">
        <v>1620</v>
      </c>
      <c r="CT300" s="213" t="s">
        <v>1621</v>
      </c>
      <c r="CU300" s="213" t="s">
        <v>1622</v>
      </c>
      <c r="CV300" s="214" t="s">
        <v>1623</v>
      </c>
      <c r="CX300" s="212">
        <v>1</v>
      </c>
    </row>
    <row r="301" spans="91:102" ht="21" customHeight="1">
      <c r="CM301" s="210"/>
      <c r="CN301" s="213" t="s">
        <v>1908</v>
      </c>
      <c r="CO301" s="213" t="s">
        <v>869</v>
      </c>
      <c r="CP301" s="213" t="s">
        <v>879</v>
      </c>
      <c r="CQ301" s="213" t="s">
        <v>1909</v>
      </c>
      <c r="CR301" s="213" t="s">
        <v>1909</v>
      </c>
      <c r="CS301" s="213" t="s">
        <v>1620</v>
      </c>
      <c r="CT301" s="213" t="s">
        <v>1621</v>
      </c>
      <c r="CU301" s="213" t="s">
        <v>1622</v>
      </c>
      <c r="CV301" s="214" t="s">
        <v>1623</v>
      </c>
      <c r="CX301" s="212">
        <v>1</v>
      </c>
    </row>
    <row r="302" spans="91:102" ht="21" customHeight="1">
      <c r="CM302" s="210"/>
      <c r="CN302" s="213" t="s">
        <v>1910</v>
      </c>
      <c r="CO302" s="213" t="s">
        <v>869</v>
      </c>
      <c r="CP302" s="213" t="s">
        <v>879</v>
      </c>
      <c r="CQ302" s="213" t="s">
        <v>1911</v>
      </c>
      <c r="CR302" s="213" t="s">
        <v>1911</v>
      </c>
      <c r="CS302" s="213" t="s">
        <v>1620</v>
      </c>
      <c r="CT302" s="213" t="s">
        <v>1621</v>
      </c>
      <c r="CU302" s="213" t="s">
        <v>1622</v>
      </c>
      <c r="CV302" s="214" t="s">
        <v>1623</v>
      </c>
      <c r="CX302" s="212">
        <v>1</v>
      </c>
    </row>
    <row r="303" spans="91:102" ht="21" customHeight="1">
      <c r="CM303" s="210"/>
      <c r="CN303" s="213" t="s">
        <v>1912</v>
      </c>
      <c r="CO303" s="213" t="s">
        <v>869</v>
      </c>
      <c r="CP303" s="213" t="s">
        <v>879</v>
      </c>
      <c r="CQ303" s="213" t="s">
        <v>1913</v>
      </c>
      <c r="CR303" s="213" t="s">
        <v>1913</v>
      </c>
      <c r="CS303" s="213" t="s">
        <v>1620</v>
      </c>
      <c r="CT303" s="213" t="s">
        <v>1621</v>
      </c>
      <c r="CU303" s="213" t="s">
        <v>1622</v>
      </c>
      <c r="CV303" s="214" t="s">
        <v>1623</v>
      </c>
      <c r="CX303" s="212">
        <v>1</v>
      </c>
    </row>
    <row r="304" spans="91:102" ht="21" customHeight="1">
      <c r="CM304" s="210"/>
      <c r="CN304" s="213" t="s">
        <v>1914</v>
      </c>
      <c r="CO304" s="213" t="s">
        <v>869</v>
      </c>
      <c r="CP304" s="213" t="s">
        <v>879</v>
      </c>
      <c r="CQ304" s="213" t="s">
        <v>1915</v>
      </c>
      <c r="CR304" s="213" t="s">
        <v>1915</v>
      </c>
      <c r="CS304" s="213" t="s">
        <v>1620</v>
      </c>
      <c r="CT304" s="213" t="s">
        <v>1621</v>
      </c>
      <c r="CU304" s="213" t="s">
        <v>1622</v>
      </c>
      <c r="CV304" s="214" t="s">
        <v>1623</v>
      </c>
      <c r="CX304" s="212">
        <v>1</v>
      </c>
    </row>
    <row r="305" spans="91:102" ht="21" customHeight="1">
      <c r="CM305" s="210"/>
      <c r="CN305" s="213" t="s">
        <v>1916</v>
      </c>
      <c r="CO305" s="213" t="s">
        <v>869</v>
      </c>
      <c r="CP305" s="213" t="s">
        <v>879</v>
      </c>
      <c r="CQ305" s="213" t="s">
        <v>1917</v>
      </c>
      <c r="CR305" s="213" t="s">
        <v>1917</v>
      </c>
      <c r="CS305" s="213" t="s">
        <v>1620</v>
      </c>
      <c r="CT305" s="213" t="s">
        <v>1621</v>
      </c>
      <c r="CU305" s="213" t="s">
        <v>1622</v>
      </c>
      <c r="CV305" s="214" t="s">
        <v>1623</v>
      </c>
      <c r="CX305" s="212">
        <v>1</v>
      </c>
    </row>
    <row r="306" spans="91:102" ht="21" customHeight="1">
      <c r="CM306" s="210"/>
      <c r="CN306" s="213" t="s">
        <v>1918</v>
      </c>
      <c r="CO306" s="213" t="s">
        <v>869</v>
      </c>
      <c r="CP306" s="213" t="s">
        <v>879</v>
      </c>
      <c r="CQ306" s="213" t="s">
        <v>1919</v>
      </c>
      <c r="CR306" s="213" t="s">
        <v>1919</v>
      </c>
      <c r="CS306" s="213" t="s">
        <v>1620</v>
      </c>
      <c r="CT306" s="213" t="s">
        <v>1621</v>
      </c>
      <c r="CU306" s="213" t="s">
        <v>1622</v>
      </c>
      <c r="CV306" s="214" t="s">
        <v>1623</v>
      </c>
      <c r="CX306" s="212">
        <v>1</v>
      </c>
    </row>
    <row r="307" spans="91:102" ht="21" customHeight="1">
      <c r="CM307" s="210"/>
      <c r="CN307" s="213" t="s">
        <v>1920</v>
      </c>
      <c r="CO307" s="213" t="s">
        <v>869</v>
      </c>
      <c r="CP307" s="213" t="s">
        <v>879</v>
      </c>
      <c r="CQ307" s="213" t="s">
        <v>1921</v>
      </c>
      <c r="CR307" s="213" t="s">
        <v>1921</v>
      </c>
      <c r="CS307" s="213" t="s">
        <v>1620</v>
      </c>
      <c r="CT307" s="213" t="s">
        <v>1621</v>
      </c>
      <c r="CU307" s="213" t="s">
        <v>1622</v>
      </c>
      <c r="CV307" s="214" t="s">
        <v>1623</v>
      </c>
      <c r="CX307" s="212">
        <v>1</v>
      </c>
    </row>
    <row r="308" spans="91:102" ht="21" customHeight="1">
      <c r="CM308" s="210"/>
      <c r="CN308" s="213" t="s">
        <v>1922</v>
      </c>
      <c r="CO308" s="213" t="s">
        <v>869</v>
      </c>
      <c r="CP308" s="213" t="s">
        <v>879</v>
      </c>
      <c r="CQ308" s="213" t="s">
        <v>1923</v>
      </c>
      <c r="CR308" s="213" t="s">
        <v>1923</v>
      </c>
      <c r="CS308" s="213" t="s">
        <v>1620</v>
      </c>
      <c r="CT308" s="213" t="s">
        <v>1621</v>
      </c>
      <c r="CU308" s="213" t="s">
        <v>1622</v>
      </c>
      <c r="CV308" s="214" t="s">
        <v>1623</v>
      </c>
      <c r="CX308" s="212">
        <v>1</v>
      </c>
    </row>
    <row r="309" spans="91:102" ht="21" customHeight="1">
      <c r="CM309" s="210"/>
      <c r="CN309" s="213" t="s">
        <v>1924</v>
      </c>
      <c r="CO309" s="213" t="s">
        <v>869</v>
      </c>
      <c r="CP309" s="213" t="s">
        <v>879</v>
      </c>
      <c r="CQ309" s="213" t="s">
        <v>1925</v>
      </c>
      <c r="CR309" s="213" t="s">
        <v>1925</v>
      </c>
      <c r="CS309" s="213" t="s">
        <v>1620</v>
      </c>
      <c r="CT309" s="213" t="s">
        <v>1621</v>
      </c>
      <c r="CU309" s="213" t="s">
        <v>1622</v>
      </c>
      <c r="CV309" s="214" t="s">
        <v>1623</v>
      </c>
      <c r="CX309" s="212">
        <v>1</v>
      </c>
    </row>
    <row r="310" spans="91:102" ht="21" customHeight="1">
      <c r="CM310" s="210"/>
      <c r="CN310" s="213" t="s">
        <v>1926</v>
      </c>
      <c r="CO310" s="213" t="s">
        <v>869</v>
      </c>
      <c r="CP310" s="213" t="s">
        <v>879</v>
      </c>
      <c r="CQ310" s="213" t="s">
        <v>1927</v>
      </c>
      <c r="CR310" s="213" t="s">
        <v>1927</v>
      </c>
      <c r="CS310" s="213" t="s">
        <v>1620</v>
      </c>
      <c r="CT310" s="213" t="s">
        <v>1621</v>
      </c>
      <c r="CU310" s="213" t="s">
        <v>1622</v>
      </c>
      <c r="CV310" s="214" t="s">
        <v>1623</v>
      </c>
      <c r="CX310" s="212">
        <v>1</v>
      </c>
    </row>
    <row r="311" spans="91:102" ht="21" customHeight="1">
      <c r="CM311" s="210"/>
      <c r="CN311" s="213" t="s">
        <v>1928</v>
      </c>
      <c r="CO311" s="213" t="s">
        <v>869</v>
      </c>
      <c r="CP311" s="213" t="s">
        <v>879</v>
      </c>
      <c r="CQ311" s="213" t="s">
        <v>1929</v>
      </c>
      <c r="CR311" s="213" t="s">
        <v>1929</v>
      </c>
      <c r="CS311" s="213" t="s">
        <v>1620</v>
      </c>
      <c r="CT311" s="213" t="s">
        <v>1621</v>
      </c>
      <c r="CU311" s="213" t="s">
        <v>1622</v>
      </c>
      <c r="CV311" s="214" t="s">
        <v>1623</v>
      </c>
      <c r="CX311" s="212">
        <v>1</v>
      </c>
    </row>
    <row r="312" spans="91:102" ht="21" customHeight="1">
      <c r="CM312" s="210"/>
      <c r="CN312" s="213" t="s">
        <v>1930</v>
      </c>
      <c r="CO312" s="213" t="s">
        <v>869</v>
      </c>
      <c r="CP312" s="213" t="s">
        <v>879</v>
      </c>
      <c r="CQ312" s="213" t="s">
        <v>1931</v>
      </c>
      <c r="CR312" s="213" t="s">
        <v>1931</v>
      </c>
      <c r="CS312" s="213" t="s">
        <v>1620</v>
      </c>
      <c r="CT312" s="213" t="s">
        <v>1621</v>
      </c>
      <c r="CU312" s="213" t="s">
        <v>1622</v>
      </c>
      <c r="CV312" s="214" t="s">
        <v>1623</v>
      </c>
      <c r="CX312" s="212">
        <v>1</v>
      </c>
    </row>
    <row r="313" spans="91:102" ht="21" customHeight="1">
      <c r="CM313" s="210"/>
      <c r="CN313" s="213" t="s">
        <v>1932</v>
      </c>
      <c r="CO313" s="213" t="s">
        <v>869</v>
      </c>
      <c r="CP313" s="213" t="s">
        <v>879</v>
      </c>
      <c r="CQ313" s="213" t="s">
        <v>1933</v>
      </c>
      <c r="CR313" s="213" t="s">
        <v>1933</v>
      </c>
      <c r="CS313" s="213" t="s">
        <v>1620</v>
      </c>
      <c r="CT313" s="213" t="s">
        <v>1621</v>
      </c>
      <c r="CU313" s="213" t="s">
        <v>1622</v>
      </c>
      <c r="CV313" s="214" t="s">
        <v>1623</v>
      </c>
      <c r="CX313" s="212">
        <v>1</v>
      </c>
    </row>
    <row r="314" spans="91:102" ht="21" customHeight="1">
      <c r="CM314" s="210"/>
      <c r="CN314" s="213" t="s">
        <v>1934</v>
      </c>
      <c r="CO314" s="213" t="s">
        <v>869</v>
      </c>
      <c r="CP314" s="213" t="s">
        <v>879</v>
      </c>
      <c r="CQ314" s="213" t="s">
        <v>1935</v>
      </c>
      <c r="CR314" s="213" t="s">
        <v>1935</v>
      </c>
      <c r="CS314" s="213" t="s">
        <v>1620</v>
      </c>
      <c r="CT314" s="213" t="s">
        <v>1628</v>
      </c>
      <c r="CU314" s="213" t="s">
        <v>883</v>
      </c>
      <c r="CV314" s="214" t="s">
        <v>884</v>
      </c>
      <c r="CX314" s="212">
        <v>1</v>
      </c>
    </row>
    <row r="315" spans="91:102" ht="21" customHeight="1">
      <c r="CM315" s="210"/>
      <c r="CN315" s="213" t="s">
        <v>1936</v>
      </c>
      <c r="CO315" s="213" t="s">
        <v>869</v>
      </c>
      <c r="CP315" s="213" t="s">
        <v>879</v>
      </c>
      <c r="CQ315" s="213" t="s">
        <v>1937</v>
      </c>
      <c r="CR315" s="213" t="s">
        <v>1937</v>
      </c>
      <c r="CS315" s="213" t="s">
        <v>1620</v>
      </c>
      <c r="CT315" s="213" t="s">
        <v>1621</v>
      </c>
      <c r="CU315" s="213" t="s">
        <v>1622</v>
      </c>
      <c r="CV315" s="214" t="s">
        <v>1623</v>
      </c>
      <c r="CX315" s="212">
        <v>1</v>
      </c>
    </row>
    <row r="316" spans="91:102" ht="21" customHeight="1">
      <c r="CM316" s="210"/>
      <c r="CN316" s="213" t="s">
        <v>1938</v>
      </c>
      <c r="CO316" s="213" t="s">
        <v>869</v>
      </c>
      <c r="CP316" s="213" t="s">
        <v>879</v>
      </c>
      <c r="CQ316" s="213" t="s">
        <v>1939</v>
      </c>
      <c r="CR316" s="213" t="s">
        <v>1939</v>
      </c>
      <c r="CS316" s="213" t="s">
        <v>1620</v>
      </c>
      <c r="CT316" s="213" t="s">
        <v>1621</v>
      </c>
      <c r="CU316" s="213" t="s">
        <v>1622</v>
      </c>
      <c r="CV316" s="214" t="s">
        <v>1623</v>
      </c>
      <c r="CX316" s="212">
        <v>1</v>
      </c>
    </row>
    <row r="317" spans="91:102" ht="21" customHeight="1">
      <c r="CM317" s="210"/>
      <c r="CN317" s="213" t="s">
        <v>1940</v>
      </c>
      <c r="CO317" s="213" t="s">
        <v>869</v>
      </c>
      <c r="CP317" s="213" t="s">
        <v>879</v>
      </c>
      <c r="CQ317" s="213" t="s">
        <v>1941</v>
      </c>
      <c r="CR317" s="213" t="s">
        <v>1941</v>
      </c>
      <c r="CS317" s="213" t="s">
        <v>1620</v>
      </c>
      <c r="CT317" s="213" t="s">
        <v>1621</v>
      </c>
      <c r="CU317" s="213" t="s">
        <v>1622</v>
      </c>
      <c r="CV317" s="214" t="s">
        <v>1623</v>
      </c>
      <c r="CX317" s="212">
        <v>1</v>
      </c>
    </row>
    <row r="318" spans="91:102" ht="21" customHeight="1">
      <c r="CM318" s="210"/>
      <c r="CN318" s="213" t="s">
        <v>1942</v>
      </c>
      <c r="CO318" s="213" t="s">
        <v>869</v>
      </c>
      <c r="CP318" s="213" t="s">
        <v>879</v>
      </c>
      <c r="CQ318" s="213" t="s">
        <v>1943</v>
      </c>
      <c r="CR318" s="213" t="s">
        <v>1943</v>
      </c>
      <c r="CS318" s="213" t="s">
        <v>1620</v>
      </c>
      <c r="CT318" s="213" t="s">
        <v>1621</v>
      </c>
      <c r="CU318" s="213" t="s">
        <v>1622</v>
      </c>
      <c r="CV318" s="214" t="s">
        <v>1623</v>
      </c>
      <c r="CX318" s="212">
        <v>1</v>
      </c>
    </row>
    <row r="319" spans="91:102" ht="21" customHeight="1">
      <c r="CM319" s="210"/>
      <c r="CN319" s="213" t="s">
        <v>1944</v>
      </c>
      <c r="CO319" s="213" t="s">
        <v>869</v>
      </c>
      <c r="CP319" s="213" t="s">
        <v>879</v>
      </c>
      <c r="CQ319" s="213" t="s">
        <v>1945</v>
      </c>
      <c r="CR319" s="213" t="s">
        <v>1945</v>
      </c>
      <c r="CS319" s="213" t="s">
        <v>1620</v>
      </c>
      <c r="CT319" s="213" t="s">
        <v>1628</v>
      </c>
      <c r="CU319" s="213" t="s">
        <v>883</v>
      </c>
      <c r="CV319" s="214" t="s">
        <v>884</v>
      </c>
      <c r="CX319" s="212">
        <v>1</v>
      </c>
    </row>
    <row r="320" spans="91:102" ht="21" customHeight="1">
      <c r="CM320" s="210"/>
      <c r="CN320" s="213" t="s">
        <v>1946</v>
      </c>
      <c r="CO320" s="213" t="s">
        <v>869</v>
      </c>
      <c r="CP320" s="213" t="s">
        <v>879</v>
      </c>
      <c r="CQ320" s="213" t="s">
        <v>1947</v>
      </c>
      <c r="CR320" s="213" t="s">
        <v>1947</v>
      </c>
      <c r="CS320" s="213" t="s">
        <v>971</v>
      </c>
      <c r="CT320" s="213" t="s">
        <v>972</v>
      </c>
      <c r="CU320" s="213" t="s">
        <v>883</v>
      </c>
      <c r="CV320" s="214" t="s">
        <v>973</v>
      </c>
      <c r="CX320" s="212">
        <v>1</v>
      </c>
    </row>
    <row r="321" spans="91:102" ht="21" customHeight="1">
      <c r="CM321" s="210"/>
      <c r="CN321" s="213" t="s">
        <v>1948</v>
      </c>
      <c r="CO321" s="213" t="s">
        <v>869</v>
      </c>
      <c r="CP321" s="213" t="s">
        <v>879</v>
      </c>
      <c r="CQ321" s="213" t="s">
        <v>1949</v>
      </c>
      <c r="CR321" s="213" t="s">
        <v>1949</v>
      </c>
      <c r="CS321" s="213" t="s">
        <v>971</v>
      </c>
      <c r="CT321" s="213" t="s">
        <v>972</v>
      </c>
      <c r="CU321" s="213" t="s">
        <v>883</v>
      </c>
      <c r="CV321" s="214" t="s">
        <v>973</v>
      </c>
      <c r="CX321" s="212">
        <v>1</v>
      </c>
    </row>
    <row r="322" spans="91:102" ht="21" customHeight="1">
      <c r="CM322" s="210"/>
      <c r="CN322" s="213" t="s">
        <v>1950</v>
      </c>
      <c r="CO322" s="213" t="s">
        <v>869</v>
      </c>
      <c r="CP322" s="213" t="s">
        <v>879</v>
      </c>
      <c r="CQ322" s="213" t="s">
        <v>1951</v>
      </c>
      <c r="CR322" s="213" t="s">
        <v>1951</v>
      </c>
      <c r="CS322" s="213" t="s">
        <v>1620</v>
      </c>
      <c r="CT322" s="213" t="s">
        <v>1621</v>
      </c>
      <c r="CU322" s="213" t="s">
        <v>1622</v>
      </c>
      <c r="CV322" s="214" t="s">
        <v>1623</v>
      </c>
      <c r="CX322" s="212">
        <v>1</v>
      </c>
    </row>
    <row r="323" spans="91:102" ht="21" customHeight="1">
      <c r="CM323" s="210"/>
      <c r="CN323" s="213" t="s">
        <v>1952</v>
      </c>
      <c r="CO323" s="213" t="s">
        <v>869</v>
      </c>
      <c r="CP323" s="213" t="s">
        <v>879</v>
      </c>
      <c r="CQ323" s="213" t="s">
        <v>1953</v>
      </c>
      <c r="CR323" s="213" t="s">
        <v>1953</v>
      </c>
      <c r="CS323" s="213" t="s">
        <v>1620</v>
      </c>
      <c r="CT323" s="213" t="s">
        <v>1621</v>
      </c>
      <c r="CU323" s="213" t="s">
        <v>1622</v>
      </c>
      <c r="CV323" s="214" t="s">
        <v>1623</v>
      </c>
      <c r="CX323" s="212">
        <v>1</v>
      </c>
    </row>
    <row r="324" spans="91:102" ht="21" customHeight="1">
      <c r="CM324" s="210"/>
      <c r="CN324" s="213" t="s">
        <v>1954</v>
      </c>
      <c r="CO324" s="213" t="s">
        <v>869</v>
      </c>
      <c r="CP324" s="213" t="s">
        <v>879</v>
      </c>
      <c r="CQ324" s="213" t="s">
        <v>1955</v>
      </c>
      <c r="CR324" s="213" t="s">
        <v>1955</v>
      </c>
      <c r="CS324" s="213" t="s">
        <v>1620</v>
      </c>
      <c r="CT324" s="213" t="s">
        <v>1621</v>
      </c>
      <c r="CU324" s="213" t="s">
        <v>1622</v>
      </c>
      <c r="CV324" s="214" t="s">
        <v>1623</v>
      </c>
      <c r="CX324" s="212">
        <v>1</v>
      </c>
    </row>
    <row r="325" spans="91:102" ht="21" customHeight="1">
      <c r="CM325" s="210"/>
      <c r="CN325" s="213" t="s">
        <v>1956</v>
      </c>
      <c r="CO325" s="213" t="s">
        <v>869</v>
      </c>
      <c r="CP325" s="213" t="s">
        <v>879</v>
      </c>
      <c r="CQ325" s="213" t="s">
        <v>1957</v>
      </c>
      <c r="CR325" s="213" t="s">
        <v>1958</v>
      </c>
      <c r="CS325" s="213" t="s">
        <v>1620</v>
      </c>
      <c r="CT325" s="213" t="s">
        <v>1628</v>
      </c>
      <c r="CU325" s="213" t="s">
        <v>883</v>
      </c>
      <c r="CV325" s="214" t="s">
        <v>884</v>
      </c>
      <c r="CX325" s="212">
        <v>1</v>
      </c>
    </row>
    <row r="326" spans="91:102" ht="21" customHeight="1">
      <c r="CM326" s="210"/>
      <c r="CN326" s="213" t="s">
        <v>1959</v>
      </c>
      <c r="CO326" s="213" t="s">
        <v>869</v>
      </c>
      <c r="CP326" s="213" t="s">
        <v>879</v>
      </c>
      <c r="CQ326" s="213" t="s">
        <v>1960</v>
      </c>
      <c r="CR326" s="213" t="s">
        <v>1960</v>
      </c>
      <c r="CS326" s="213" t="s">
        <v>1620</v>
      </c>
      <c r="CT326" s="213" t="s">
        <v>1621</v>
      </c>
      <c r="CU326" s="213" t="s">
        <v>1622</v>
      </c>
      <c r="CV326" s="214" t="s">
        <v>1623</v>
      </c>
      <c r="CX326" s="212">
        <v>1</v>
      </c>
    </row>
    <row r="327" spans="91:102" ht="21" customHeight="1">
      <c r="CM327" s="210"/>
      <c r="CN327" s="213" t="s">
        <v>1961</v>
      </c>
      <c r="CO327" s="213" t="s">
        <v>869</v>
      </c>
      <c r="CP327" s="213" t="s">
        <v>879</v>
      </c>
      <c r="CQ327" s="213" t="s">
        <v>1962</v>
      </c>
      <c r="CR327" s="213" t="s">
        <v>1962</v>
      </c>
      <c r="CS327" s="213" t="s">
        <v>1620</v>
      </c>
      <c r="CT327" s="213" t="s">
        <v>1621</v>
      </c>
      <c r="CU327" s="213" t="s">
        <v>1622</v>
      </c>
      <c r="CV327" s="214" t="s">
        <v>1623</v>
      </c>
      <c r="CX327" s="212">
        <v>1</v>
      </c>
    </row>
    <row r="328" spans="91:102" ht="21" customHeight="1">
      <c r="CM328" s="210"/>
      <c r="CN328" s="213" t="s">
        <v>1963</v>
      </c>
      <c r="CO328" s="213" t="s">
        <v>869</v>
      </c>
      <c r="CP328" s="213" t="s">
        <v>879</v>
      </c>
      <c r="CQ328" s="213" t="s">
        <v>1964</v>
      </c>
      <c r="CR328" s="213" t="s">
        <v>1964</v>
      </c>
      <c r="CS328" s="213" t="s">
        <v>1620</v>
      </c>
      <c r="CT328" s="213" t="s">
        <v>1628</v>
      </c>
      <c r="CU328" s="213" t="s">
        <v>883</v>
      </c>
      <c r="CV328" s="214" t="s">
        <v>884</v>
      </c>
      <c r="CX328" s="212">
        <v>1</v>
      </c>
    </row>
    <row r="329" spans="91:102" ht="21" customHeight="1">
      <c r="CM329" s="210"/>
      <c r="CN329" s="213" t="s">
        <v>1965</v>
      </c>
      <c r="CO329" s="213" t="s">
        <v>869</v>
      </c>
      <c r="CP329" s="213" t="s">
        <v>879</v>
      </c>
      <c r="CQ329" s="213" t="s">
        <v>1966</v>
      </c>
      <c r="CR329" s="213" t="s">
        <v>1966</v>
      </c>
      <c r="CS329" s="213" t="s">
        <v>971</v>
      </c>
      <c r="CT329" s="213" t="s">
        <v>972</v>
      </c>
      <c r="CU329" s="213" t="s">
        <v>883</v>
      </c>
      <c r="CV329" s="214" t="s">
        <v>973</v>
      </c>
      <c r="CX329" s="212">
        <v>1</v>
      </c>
    </row>
    <row r="330" spans="91:102" ht="21" customHeight="1">
      <c r="CM330" s="210"/>
      <c r="CN330" s="213" t="s">
        <v>1967</v>
      </c>
      <c r="CO330" s="213" t="s">
        <v>869</v>
      </c>
      <c r="CP330" s="213" t="s">
        <v>879</v>
      </c>
      <c r="CQ330" s="213" t="s">
        <v>1968</v>
      </c>
      <c r="CR330" s="213" t="s">
        <v>1968</v>
      </c>
      <c r="CS330" s="213" t="s">
        <v>971</v>
      </c>
      <c r="CT330" s="213" t="s">
        <v>972</v>
      </c>
      <c r="CU330" s="213" t="s">
        <v>883</v>
      </c>
      <c r="CV330" s="214" t="s">
        <v>973</v>
      </c>
      <c r="CX330" s="212">
        <v>1</v>
      </c>
    </row>
    <row r="331" spans="91:102" ht="21" customHeight="1">
      <c r="CM331" s="210"/>
      <c r="CN331" s="213" t="s">
        <v>1969</v>
      </c>
      <c r="CO331" s="213" t="s">
        <v>869</v>
      </c>
      <c r="CP331" s="213" t="s">
        <v>879</v>
      </c>
      <c r="CQ331" s="213" t="s">
        <v>1970</v>
      </c>
      <c r="CR331" s="213" t="s">
        <v>1971</v>
      </c>
      <c r="CS331" s="213" t="s">
        <v>1620</v>
      </c>
      <c r="CT331" s="213" t="s">
        <v>1628</v>
      </c>
      <c r="CU331" s="213" t="s">
        <v>883</v>
      </c>
      <c r="CV331" s="214" t="s">
        <v>884</v>
      </c>
      <c r="CX331" s="212">
        <v>1</v>
      </c>
    </row>
    <row r="332" spans="91:102" ht="21" customHeight="1">
      <c r="CM332" s="210"/>
      <c r="CN332" s="213" t="s">
        <v>1972</v>
      </c>
      <c r="CO332" s="213" t="s">
        <v>869</v>
      </c>
      <c r="CP332" s="213" t="s">
        <v>879</v>
      </c>
      <c r="CQ332" s="213" t="s">
        <v>1973</v>
      </c>
      <c r="CR332" s="213" t="s">
        <v>1973</v>
      </c>
      <c r="CS332" s="213" t="s">
        <v>1620</v>
      </c>
      <c r="CT332" s="213" t="s">
        <v>1628</v>
      </c>
      <c r="CU332" s="213" t="s">
        <v>883</v>
      </c>
      <c r="CV332" s="214" t="s">
        <v>884</v>
      </c>
      <c r="CX332" s="212">
        <v>1</v>
      </c>
    </row>
    <row r="333" spans="91:102" ht="21" customHeight="1">
      <c r="CM333" s="210"/>
      <c r="CN333" s="213" t="s">
        <v>1974</v>
      </c>
      <c r="CO333" s="213" t="s">
        <v>869</v>
      </c>
      <c r="CP333" s="213" t="s">
        <v>879</v>
      </c>
      <c r="CQ333" s="213" t="s">
        <v>1975</v>
      </c>
      <c r="CR333" s="213" t="s">
        <v>1975</v>
      </c>
      <c r="CS333" s="213" t="s">
        <v>1620</v>
      </c>
      <c r="CT333" s="213" t="s">
        <v>1628</v>
      </c>
      <c r="CU333" s="213" t="s">
        <v>883</v>
      </c>
      <c r="CV333" s="214" t="s">
        <v>884</v>
      </c>
      <c r="CX333" s="212">
        <v>1</v>
      </c>
    </row>
    <row r="334" spans="91:102" ht="21" customHeight="1">
      <c r="CM334" s="210"/>
      <c r="CN334" s="213" t="s">
        <v>1976</v>
      </c>
      <c r="CO334" s="213" t="s">
        <v>869</v>
      </c>
      <c r="CP334" s="213" t="s">
        <v>879</v>
      </c>
      <c r="CQ334" s="213" t="s">
        <v>1977</v>
      </c>
      <c r="CR334" s="213" t="s">
        <v>1977</v>
      </c>
      <c r="CS334" s="213" t="s">
        <v>971</v>
      </c>
      <c r="CT334" s="213" t="s">
        <v>972</v>
      </c>
      <c r="CU334" s="213" t="s">
        <v>883</v>
      </c>
      <c r="CV334" s="214" t="s">
        <v>973</v>
      </c>
      <c r="CX334" s="212">
        <v>1</v>
      </c>
    </row>
    <row r="335" spans="91:102" ht="21" customHeight="1">
      <c r="CM335" s="210"/>
      <c r="CN335" s="213" t="s">
        <v>1978</v>
      </c>
      <c r="CO335" s="213" t="s">
        <v>869</v>
      </c>
      <c r="CP335" s="213" t="s">
        <v>879</v>
      </c>
      <c r="CQ335" s="213" t="s">
        <v>1979</v>
      </c>
      <c r="CR335" s="213" t="s">
        <v>1979</v>
      </c>
      <c r="CS335" s="213" t="s">
        <v>1620</v>
      </c>
      <c r="CT335" s="213" t="s">
        <v>1628</v>
      </c>
      <c r="CU335" s="213" t="s">
        <v>883</v>
      </c>
      <c r="CV335" s="214" t="s">
        <v>884</v>
      </c>
      <c r="CX335" s="212">
        <v>1</v>
      </c>
    </row>
    <row r="336" spans="91:102" ht="21" customHeight="1">
      <c r="CM336" s="210"/>
      <c r="CN336" s="213" t="s">
        <v>1980</v>
      </c>
      <c r="CO336" s="213" t="s">
        <v>869</v>
      </c>
      <c r="CP336" s="213" t="s">
        <v>879</v>
      </c>
      <c r="CQ336" s="213" t="s">
        <v>1981</v>
      </c>
      <c r="CR336" s="213" t="s">
        <v>1981</v>
      </c>
      <c r="CS336" s="213" t="s">
        <v>971</v>
      </c>
      <c r="CT336" s="213" t="s">
        <v>972</v>
      </c>
      <c r="CU336" s="213" t="s">
        <v>883</v>
      </c>
      <c r="CV336" s="214" t="s">
        <v>973</v>
      </c>
      <c r="CX336" s="212">
        <v>1</v>
      </c>
    </row>
    <row r="337" spans="91:102" ht="21" customHeight="1">
      <c r="CM337" s="210"/>
      <c r="CN337" s="213" t="s">
        <v>1982</v>
      </c>
      <c r="CO337" s="213" t="s">
        <v>869</v>
      </c>
      <c r="CP337" s="213" t="s">
        <v>879</v>
      </c>
      <c r="CQ337" s="213" t="s">
        <v>1983</v>
      </c>
      <c r="CR337" s="213" t="s">
        <v>1983</v>
      </c>
      <c r="CS337" s="213" t="s">
        <v>1620</v>
      </c>
      <c r="CT337" s="213" t="s">
        <v>1621</v>
      </c>
      <c r="CU337" s="213" t="s">
        <v>1622</v>
      </c>
      <c r="CV337" s="214" t="s">
        <v>1623</v>
      </c>
      <c r="CX337" s="212">
        <v>1</v>
      </c>
    </row>
    <row r="338" spans="91:102" ht="21" customHeight="1">
      <c r="CM338" s="210"/>
      <c r="CN338" s="213" t="s">
        <v>1984</v>
      </c>
      <c r="CO338" s="213" t="s">
        <v>869</v>
      </c>
      <c r="CP338" s="213" t="s">
        <v>879</v>
      </c>
      <c r="CQ338" s="213" t="s">
        <v>1985</v>
      </c>
      <c r="CR338" s="213" t="s">
        <v>1985</v>
      </c>
      <c r="CS338" s="213" t="s">
        <v>1620</v>
      </c>
      <c r="CT338" s="213" t="s">
        <v>1628</v>
      </c>
      <c r="CU338" s="213" t="s">
        <v>883</v>
      </c>
      <c r="CV338" s="214" t="s">
        <v>884</v>
      </c>
      <c r="CX338" s="212">
        <v>1</v>
      </c>
    </row>
    <row r="339" spans="91:102" ht="21" customHeight="1">
      <c r="CM339" s="210"/>
      <c r="CN339" s="213" t="s">
        <v>1986</v>
      </c>
      <c r="CO339" s="213" t="s">
        <v>869</v>
      </c>
      <c r="CP339" s="213" t="s">
        <v>879</v>
      </c>
      <c r="CQ339" s="213" t="s">
        <v>1987</v>
      </c>
      <c r="CR339" s="213" t="s">
        <v>1987</v>
      </c>
      <c r="CS339" s="213" t="s">
        <v>1620</v>
      </c>
      <c r="CT339" s="213" t="s">
        <v>1621</v>
      </c>
      <c r="CU339" s="213" t="s">
        <v>1622</v>
      </c>
      <c r="CV339" s="214" t="s">
        <v>1623</v>
      </c>
      <c r="CX339" s="212">
        <v>1</v>
      </c>
    </row>
    <row r="340" spans="91:102" ht="21" customHeight="1">
      <c r="CM340" s="210"/>
      <c r="CN340" s="213" t="s">
        <v>1988</v>
      </c>
      <c r="CO340" s="213" t="s">
        <v>869</v>
      </c>
      <c r="CP340" s="213" t="s">
        <v>879</v>
      </c>
      <c r="CQ340" s="213" t="s">
        <v>1989</v>
      </c>
      <c r="CR340" s="213" t="s">
        <v>1989</v>
      </c>
      <c r="CS340" s="213" t="s">
        <v>1620</v>
      </c>
      <c r="CT340" s="213" t="s">
        <v>1628</v>
      </c>
      <c r="CU340" s="213" t="s">
        <v>883</v>
      </c>
      <c r="CV340" s="214" t="s">
        <v>884</v>
      </c>
      <c r="CX340" s="212">
        <v>1</v>
      </c>
    </row>
    <row r="341" spans="91:102" ht="21" customHeight="1">
      <c r="CM341" s="210"/>
      <c r="CN341" s="213" t="s">
        <v>1990</v>
      </c>
      <c r="CO341" s="213" t="s">
        <v>886</v>
      </c>
      <c r="CP341" s="213" t="s">
        <v>879</v>
      </c>
      <c r="CQ341" s="213" t="s">
        <v>1991</v>
      </c>
      <c r="CR341" s="213" t="s">
        <v>1992</v>
      </c>
      <c r="CS341" s="213" t="s">
        <v>881</v>
      </c>
      <c r="CT341" s="213" t="s">
        <v>1993</v>
      </c>
      <c r="CU341" s="213" t="s">
        <v>883</v>
      </c>
      <c r="CV341" s="214" t="s">
        <v>884</v>
      </c>
      <c r="CX341" s="212">
        <v>1</v>
      </c>
    </row>
    <row r="342" spans="91:102" ht="21" customHeight="1">
      <c r="CM342" s="210"/>
      <c r="CN342" s="213" t="s">
        <v>1994</v>
      </c>
      <c r="CO342" s="213" t="s">
        <v>886</v>
      </c>
      <c r="CP342" s="213" t="s">
        <v>879</v>
      </c>
      <c r="CQ342" s="213" t="s">
        <v>1995</v>
      </c>
      <c r="CR342" s="213" t="s">
        <v>1995</v>
      </c>
      <c r="CS342" s="213" t="s">
        <v>881</v>
      </c>
      <c r="CT342" s="213" t="s">
        <v>1993</v>
      </c>
      <c r="CU342" s="213" t="s">
        <v>883</v>
      </c>
      <c r="CV342" s="214" t="s">
        <v>884</v>
      </c>
      <c r="CX342" s="212">
        <v>1</v>
      </c>
    </row>
    <row r="343" spans="91:102" ht="21" customHeight="1">
      <c r="CM343" s="210"/>
      <c r="CN343" s="213" t="s">
        <v>1996</v>
      </c>
      <c r="CO343" s="213" t="s">
        <v>886</v>
      </c>
      <c r="CP343" s="213" t="s">
        <v>879</v>
      </c>
      <c r="CQ343" s="213" t="s">
        <v>1997</v>
      </c>
      <c r="CR343" s="213" t="s">
        <v>1998</v>
      </c>
      <c r="CS343" s="213" t="s">
        <v>881</v>
      </c>
      <c r="CT343" s="213" t="s">
        <v>1993</v>
      </c>
      <c r="CU343" s="213" t="s">
        <v>883</v>
      </c>
      <c r="CV343" s="214" t="s">
        <v>884</v>
      </c>
      <c r="CX343" s="212">
        <v>1</v>
      </c>
    </row>
    <row r="344" spans="91:102" ht="21" customHeight="1">
      <c r="CM344" s="210"/>
      <c r="CN344" s="213" t="s">
        <v>1999</v>
      </c>
      <c r="CO344" s="213" t="s">
        <v>886</v>
      </c>
      <c r="CP344" s="213" t="s">
        <v>879</v>
      </c>
      <c r="CQ344" s="213" t="s">
        <v>2000</v>
      </c>
      <c r="CR344" s="213" t="s">
        <v>2001</v>
      </c>
      <c r="CS344" s="213" t="s">
        <v>881</v>
      </c>
      <c r="CT344" s="213" t="s">
        <v>1993</v>
      </c>
      <c r="CU344" s="213" t="s">
        <v>883</v>
      </c>
      <c r="CV344" s="214" t="s">
        <v>884</v>
      </c>
      <c r="CX344" s="212">
        <v>1</v>
      </c>
    </row>
    <row r="345" spans="91:102" ht="21" customHeight="1">
      <c r="CM345" s="210"/>
      <c r="CN345" s="213" t="s">
        <v>2002</v>
      </c>
      <c r="CO345" s="213" t="s">
        <v>886</v>
      </c>
      <c r="CP345" s="213" t="s">
        <v>879</v>
      </c>
      <c r="CQ345" s="213" t="s">
        <v>2003</v>
      </c>
      <c r="CR345" s="213" t="s">
        <v>2004</v>
      </c>
      <c r="CS345" s="213" t="s">
        <v>881</v>
      </c>
      <c r="CT345" s="213" t="s">
        <v>1993</v>
      </c>
      <c r="CU345" s="213" t="s">
        <v>883</v>
      </c>
      <c r="CV345" s="214" t="s">
        <v>884</v>
      </c>
      <c r="CX345" s="212">
        <v>1</v>
      </c>
    </row>
    <row r="346" spans="91:102" ht="21" customHeight="1">
      <c r="CM346" s="210"/>
      <c r="CN346" s="213" t="s">
        <v>2005</v>
      </c>
      <c r="CO346" s="213" t="s">
        <v>886</v>
      </c>
      <c r="CP346" s="213" t="s">
        <v>879</v>
      </c>
      <c r="CQ346" s="213" t="s">
        <v>2006</v>
      </c>
      <c r="CR346" s="213" t="s">
        <v>2007</v>
      </c>
      <c r="CS346" s="213" t="s">
        <v>881</v>
      </c>
      <c r="CT346" s="213" t="s">
        <v>1993</v>
      </c>
      <c r="CU346" s="213" t="s">
        <v>883</v>
      </c>
      <c r="CV346" s="214" t="s">
        <v>884</v>
      </c>
      <c r="CX346" s="212">
        <v>1</v>
      </c>
    </row>
    <row r="347" spans="91:102" ht="21" customHeight="1">
      <c r="CM347" s="210"/>
      <c r="CN347" s="213" t="s">
        <v>2008</v>
      </c>
      <c r="CO347" s="213" t="s">
        <v>886</v>
      </c>
      <c r="CP347" s="213" t="s">
        <v>879</v>
      </c>
      <c r="CQ347" s="213" t="s">
        <v>2009</v>
      </c>
      <c r="CR347" s="213" t="s">
        <v>2009</v>
      </c>
      <c r="CS347" s="213" t="s">
        <v>881</v>
      </c>
      <c r="CT347" s="213" t="s">
        <v>1993</v>
      </c>
      <c r="CU347" s="213" t="s">
        <v>883</v>
      </c>
      <c r="CV347" s="214" t="s">
        <v>884</v>
      </c>
      <c r="CX347" s="212">
        <v>1</v>
      </c>
    </row>
    <row r="348" spans="91:102" ht="21" customHeight="1">
      <c r="CM348" s="210"/>
      <c r="CN348" s="213" t="s">
        <v>2010</v>
      </c>
      <c r="CO348" s="213" t="s">
        <v>886</v>
      </c>
      <c r="CP348" s="213" t="s">
        <v>879</v>
      </c>
      <c r="CQ348" s="213" t="s">
        <v>2011</v>
      </c>
      <c r="CR348" s="213" t="s">
        <v>2011</v>
      </c>
      <c r="CS348" s="213" t="s">
        <v>881</v>
      </c>
      <c r="CT348" s="213" t="s">
        <v>1993</v>
      </c>
      <c r="CU348" s="213" t="s">
        <v>883</v>
      </c>
      <c r="CV348" s="214" t="s">
        <v>884</v>
      </c>
      <c r="CX348" s="212">
        <v>1</v>
      </c>
    </row>
    <row r="349" spans="91:102" ht="21" customHeight="1">
      <c r="CM349" s="210"/>
      <c r="CN349" s="213" t="s">
        <v>2012</v>
      </c>
      <c r="CO349" s="213" t="s">
        <v>886</v>
      </c>
      <c r="CP349" s="213" t="s">
        <v>879</v>
      </c>
      <c r="CQ349" s="213" t="s">
        <v>2013</v>
      </c>
      <c r="CR349" s="213" t="s">
        <v>2013</v>
      </c>
      <c r="CS349" s="213" t="s">
        <v>881</v>
      </c>
      <c r="CT349" s="213" t="s">
        <v>1993</v>
      </c>
      <c r="CU349" s="213" t="s">
        <v>883</v>
      </c>
      <c r="CV349" s="214" t="s">
        <v>884</v>
      </c>
      <c r="CX349" s="212">
        <v>1</v>
      </c>
    </row>
    <row r="350" spans="91:102" ht="21" customHeight="1">
      <c r="CM350" s="210"/>
      <c r="CN350" s="213" t="s">
        <v>2014</v>
      </c>
      <c r="CO350" s="213" t="s">
        <v>886</v>
      </c>
      <c r="CP350" s="213" t="s">
        <v>879</v>
      </c>
      <c r="CQ350" s="213" t="s">
        <v>2015</v>
      </c>
      <c r="CR350" s="213" t="s">
        <v>2016</v>
      </c>
      <c r="CS350" s="213" t="s">
        <v>881</v>
      </c>
      <c r="CT350" s="213" t="s">
        <v>1993</v>
      </c>
      <c r="CU350" s="213" t="s">
        <v>883</v>
      </c>
      <c r="CV350" s="214" t="s">
        <v>884</v>
      </c>
      <c r="CX350" s="212">
        <v>1</v>
      </c>
    </row>
    <row r="351" spans="91:102" ht="21" customHeight="1">
      <c r="CM351" s="210"/>
      <c r="CN351" s="213" t="s">
        <v>2017</v>
      </c>
      <c r="CO351" s="213" t="s">
        <v>886</v>
      </c>
      <c r="CP351" s="213" t="s">
        <v>879</v>
      </c>
      <c r="CQ351" s="213" t="s">
        <v>2018</v>
      </c>
      <c r="CR351" s="213" t="s">
        <v>2019</v>
      </c>
      <c r="CS351" s="213" t="s">
        <v>881</v>
      </c>
      <c r="CT351" s="213" t="s">
        <v>1993</v>
      </c>
      <c r="CU351" s="213" t="s">
        <v>883</v>
      </c>
      <c r="CV351" s="214" t="s">
        <v>884</v>
      </c>
      <c r="CX351" s="212">
        <v>1</v>
      </c>
    </row>
    <row r="352" spans="91:102" ht="21" customHeight="1">
      <c r="CM352" s="210"/>
      <c r="CN352" s="213" t="s">
        <v>2020</v>
      </c>
      <c r="CO352" s="213" t="s">
        <v>886</v>
      </c>
      <c r="CP352" s="213" t="s">
        <v>879</v>
      </c>
      <c r="CQ352" s="213" t="s">
        <v>2021</v>
      </c>
      <c r="CR352" s="213" t="s">
        <v>2022</v>
      </c>
      <c r="CS352" s="213" t="s">
        <v>881</v>
      </c>
      <c r="CT352" s="213" t="s">
        <v>1993</v>
      </c>
      <c r="CU352" s="213" t="s">
        <v>883</v>
      </c>
      <c r="CV352" s="214" t="s">
        <v>884</v>
      </c>
      <c r="CX352" s="212">
        <v>1</v>
      </c>
    </row>
    <row r="353" spans="91:102" ht="21" customHeight="1">
      <c r="CM353" s="210"/>
      <c r="CN353" s="213" t="s">
        <v>2023</v>
      </c>
      <c r="CO353" s="213" t="s">
        <v>886</v>
      </c>
      <c r="CP353" s="213" t="s">
        <v>879</v>
      </c>
      <c r="CQ353" s="213" t="s">
        <v>2024</v>
      </c>
      <c r="CR353" s="213" t="s">
        <v>2025</v>
      </c>
      <c r="CS353" s="213" t="s">
        <v>881</v>
      </c>
      <c r="CT353" s="213" t="s">
        <v>1993</v>
      </c>
      <c r="CU353" s="213" t="s">
        <v>883</v>
      </c>
      <c r="CV353" s="214" t="s">
        <v>884</v>
      </c>
      <c r="CX353" s="212">
        <v>1</v>
      </c>
    </row>
    <row r="354" spans="91:102" ht="21" customHeight="1">
      <c r="CM354" s="210"/>
      <c r="CN354" s="213" t="s">
        <v>2026</v>
      </c>
      <c r="CO354" s="213" t="s">
        <v>886</v>
      </c>
      <c r="CP354" s="213" t="s">
        <v>879</v>
      </c>
      <c r="CQ354" s="213" t="s">
        <v>2027</v>
      </c>
      <c r="CR354" s="213" t="s">
        <v>2028</v>
      </c>
      <c r="CS354" s="213" t="s">
        <v>881</v>
      </c>
      <c r="CT354" s="213" t="s">
        <v>1993</v>
      </c>
      <c r="CU354" s="213" t="s">
        <v>883</v>
      </c>
      <c r="CV354" s="214" t="s">
        <v>884</v>
      </c>
      <c r="CX354" s="212">
        <v>1</v>
      </c>
    </row>
    <row r="355" spans="91:102" ht="21" customHeight="1">
      <c r="CM355" s="210"/>
      <c r="CN355" s="213" t="s">
        <v>2029</v>
      </c>
      <c r="CO355" s="213" t="s">
        <v>886</v>
      </c>
      <c r="CP355" s="213" t="s">
        <v>879</v>
      </c>
      <c r="CQ355" s="213" t="s">
        <v>2030</v>
      </c>
      <c r="CR355" s="213" t="s">
        <v>2031</v>
      </c>
      <c r="CS355" s="213" t="s">
        <v>881</v>
      </c>
      <c r="CT355" s="213" t="s">
        <v>1993</v>
      </c>
      <c r="CU355" s="213" t="s">
        <v>883</v>
      </c>
      <c r="CV355" s="214" t="s">
        <v>884</v>
      </c>
      <c r="CX355" s="212">
        <v>1</v>
      </c>
    </row>
    <row r="356" spans="91:102" ht="21" customHeight="1">
      <c r="CM356" s="210"/>
      <c r="CN356" s="213" t="s">
        <v>2032</v>
      </c>
      <c r="CO356" s="213" t="s">
        <v>886</v>
      </c>
      <c r="CP356" s="213" t="s">
        <v>879</v>
      </c>
      <c r="CQ356" s="213" t="s">
        <v>2033</v>
      </c>
      <c r="CR356" s="213" t="s">
        <v>2034</v>
      </c>
      <c r="CS356" s="213" t="s">
        <v>881</v>
      </c>
      <c r="CT356" s="213" t="s">
        <v>1993</v>
      </c>
      <c r="CU356" s="213" t="s">
        <v>883</v>
      </c>
      <c r="CV356" s="214" t="s">
        <v>884</v>
      </c>
      <c r="CX356" s="212">
        <v>1</v>
      </c>
    </row>
    <row r="357" spans="91:102" ht="21" customHeight="1">
      <c r="CM357" s="210"/>
      <c r="CN357" s="213" t="s">
        <v>2035</v>
      </c>
      <c r="CO357" s="213" t="s">
        <v>886</v>
      </c>
      <c r="CP357" s="213" t="s">
        <v>879</v>
      </c>
      <c r="CQ357" s="213" t="s">
        <v>2036</v>
      </c>
      <c r="CR357" s="213" t="s">
        <v>2036</v>
      </c>
      <c r="CS357" s="213" t="s">
        <v>971</v>
      </c>
      <c r="CT357" s="213" t="s">
        <v>972</v>
      </c>
      <c r="CU357" s="213" t="s">
        <v>883</v>
      </c>
      <c r="CV357" s="214" t="s">
        <v>973</v>
      </c>
      <c r="CX357" s="212">
        <v>1</v>
      </c>
    </row>
    <row r="358" spans="91:102" ht="21" customHeight="1">
      <c r="CM358" s="210"/>
      <c r="CN358" s="213" t="s">
        <v>2037</v>
      </c>
      <c r="CO358" s="213" t="s">
        <v>886</v>
      </c>
      <c r="CP358" s="213" t="s">
        <v>879</v>
      </c>
      <c r="CQ358" s="213" t="s">
        <v>2038</v>
      </c>
      <c r="CR358" s="213" t="s">
        <v>2038</v>
      </c>
      <c r="CS358" s="213" t="s">
        <v>971</v>
      </c>
      <c r="CT358" s="213" t="s">
        <v>972</v>
      </c>
      <c r="CU358" s="213" t="s">
        <v>883</v>
      </c>
      <c r="CV358" s="214" t="s">
        <v>973</v>
      </c>
      <c r="CX358" s="212">
        <v>1</v>
      </c>
    </row>
    <row r="359" spans="91:102" ht="21" customHeight="1">
      <c r="CM359" s="210"/>
      <c r="CN359" s="213" t="s">
        <v>2039</v>
      </c>
      <c r="CO359" s="213" t="s">
        <v>886</v>
      </c>
      <c r="CP359" s="213" t="s">
        <v>879</v>
      </c>
      <c r="CQ359" s="213" t="s">
        <v>2040</v>
      </c>
      <c r="CR359" s="213" t="s">
        <v>2040</v>
      </c>
      <c r="CS359" s="213" t="s">
        <v>971</v>
      </c>
      <c r="CT359" s="213" t="s">
        <v>972</v>
      </c>
      <c r="CU359" s="213" t="s">
        <v>883</v>
      </c>
      <c r="CV359" s="214" t="s">
        <v>973</v>
      </c>
      <c r="CX359" s="212">
        <v>1</v>
      </c>
    </row>
    <row r="360" spans="91:102" ht="21" customHeight="1">
      <c r="CM360" s="210"/>
      <c r="CN360" s="213" t="s">
        <v>2041</v>
      </c>
      <c r="CO360" s="213" t="s">
        <v>886</v>
      </c>
      <c r="CP360" s="213" t="s">
        <v>879</v>
      </c>
      <c r="CQ360" s="213" t="s">
        <v>2042</v>
      </c>
      <c r="CR360" s="213" t="s">
        <v>2042</v>
      </c>
      <c r="CS360" s="213" t="s">
        <v>971</v>
      </c>
      <c r="CT360" s="213" t="s">
        <v>972</v>
      </c>
      <c r="CU360" s="213" t="s">
        <v>883</v>
      </c>
      <c r="CV360" s="214" t="s">
        <v>973</v>
      </c>
      <c r="CX360" s="212">
        <v>1</v>
      </c>
    </row>
    <row r="361" spans="91:102" ht="21" customHeight="1">
      <c r="CM361" s="210"/>
      <c r="CN361" s="213" t="s">
        <v>2043</v>
      </c>
      <c r="CO361" s="213" t="s">
        <v>886</v>
      </c>
      <c r="CP361" s="213" t="s">
        <v>879</v>
      </c>
      <c r="CQ361" s="213" t="s">
        <v>2044</v>
      </c>
      <c r="CR361" s="213" t="s">
        <v>2044</v>
      </c>
      <c r="CS361" s="213" t="s">
        <v>971</v>
      </c>
      <c r="CT361" s="213" t="s">
        <v>972</v>
      </c>
      <c r="CU361" s="213" t="s">
        <v>883</v>
      </c>
      <c r="CV361" s="214" t="s">
        <v>973</v>
      </c>
      <c r="CX361" s="212">
        <v>1</v>
      </c>
    </row>
    <row r="362" spans="91:102" ht="21" customHeight="1">
      <c r="CM362" s="210"/>
      <c r="CN362" s="213" t="s">
        <v>2045</v>
      </c>
      <c r="CO362" s="213" t="s">
        <v>886</v>
      </c>
      <c r="CP362" s="213" t="s">
        <v>879</v>
      </c>
      <c r="CQ362" s="213" t="s">
        <v>2046</v>
      </c>
      <c r="CR362" s="213" t="s">
        <v>2046</v>
      </c>
      <c r="CS362" s="213" t="s">
        <v>971</v>
      </c>
      <c r="CT362" s="213" t="s">
        <v>972</v>
      </c>
      <c r="CU362" s="213" t="s">
        <v>883</v>
      </c>
      <c r="CV362" s="214" t="s">
        <v>973</v>
      </c>
      <c r="CX362" s="212">
        <v>1</v>
      </c>
    </row>
    <row r="363" spans="91:102" ht="21" customHeight="1">
      <c r="CM363" s="210"/>
      <c r="CN363" s="213" t="s">
        <v>2047</v>
      </c>
      <c r="CO363" s="213" t="s">
        <v>886</v>
      </c>
      <c r="CP363" s="213" t="s">
        <v>879</v>
      </c>
      <c r="CQ363" s="213" t="s">
        <v>2048</v>
      </c>
      <c r="CR363" s="213" t="s">
        <v>2048</v>
      </c>
      <c r="CS363" s="213" t="s">
        <v>881</v>
      </c>
      <c r="CT363" s="213" t="s">
        <v>1993</v>
      </c>
      <c r="CU363" s="213" t="s">
        <v>883</v>
      </c>
      <c r="CV363" s="214" t="s">
        <v>884</v>
      </c>
      <c r="CX363" s="212">
        <v>1</v>
      </c>
    </row>
    <row r="364" spans="91:102" ht="21" customHeight="1">
      <c r="CM364" s="210"/>
      <c r="CN364" s="213" t="s">
        <v>2049</v>
      </c>
      <c r="CO364" s="213" t="s">
        <v>886</v>
      </c>
      <c r="CP364" s="213" t="s">
        <v>879</v>
      </c>
      <c r="CQ364" s="213" t="s">
        <v>1113</v>
      </c>
      <c r="CR364" s="213" t="s">
        <v>1114</v>
      </c>
      <c r="CS364" s="213" t="s">
        <v>881</v>
      </c>
      <c r="CT364" s="213" t="s">
        <v>1993</v>
      </c>
      <c r="CU364" s="213" t="s">
        <v>883</v>
      </c>
      <c r="CV364" s="214" t="s">
        <v>884</v>
      </c>
      <c r="CX364" s="212">
        <v>1</v>
      </c>
    </row>
    <row r="365" spans="91:102" ht="21" customHeight="1">
      <c r="CM365" s="210"/>
      <c r="CN365" s="213" t="s">
        <v>2050</v>
      </c>
      <c r="CO365" s="213" t="s">
        <v>886</v>
      </c>
      <c r="CP365" s="213" t="s">
        <v>879</v>
      </c>
      <c r="CQ365" s="213" t="s">
        <v>2051</v>
      </c>
      <c r="CR365" s="213" t="s">
        <v>2051</v>
      </c>
      <c r="CS365" s="213" t="s">
        <v>881</v>
      </c>
      <c r="CT365" s="213" t="s">
        <v>1993</v>
      </c>
      <c r="CU365" s="213" t="s">
        <v>883</v>
      </c>
      <c r="CV365" s="214" t="s">
        <v>884</v>
      </c>
      <c r="CX365" s="212">
        <v>1</v>
      </c>
    </row>
    <row r="366" spans="91:102" ht="21" customHeight="1">
      <c r="CM366" s="210"/>
      <c r="CN366" s="213" t="s">
        <v>2052</v>
      </c>
      <c r="CO366" s="213" t="s">
        <v>886</v>
      </c>
      <c r="CP366" s="213" t="s">
        <v>879</v>
      </c>
      <c r="CQ366" s="213" t="s">
        <v>2053</v>
      </c>
      <c r="CR366" s="213" t="s">
        <v>2054</v>
      </c>
      <c r="CS366" s="213" t="s">
        <v>881</v>
      </c>
      <c r="CT366" s="213" t="s">
        <v>1993</v>
      </c>
      <c r="CU366" s="213" t="s">
        <v>883</v>
      </c>
      <c r="CV366" s="214" t="s">
        <v>884</v>
      </c>
      <c r="CX366" s="212">
        <v>1</v>
      </c>
    </row>
    <row r="367" spans="91:102" ht="21" customHeight="1">
      <c r="CM367" s="210"/>
      <c r="CN367" s="213" t="s">
        <v>2055</v>
      </c>
      <c r="CO367" s="213" t="s">
        <v>886</v>
      </c>
      <c r="CP367" s="213" t="s">
        <v>879</v>
      </c>
      <c r="CQ367" s="213" t="s">
        <v>2056</v>
      </c>
      <c r="CR367" s="213" t="s">
        <v>2057</v>
      </c>
      <c r="CS367" s="213" t="s">
        <v>881</v>
      </c>
      <c r="CT367" s="213" t="s">
        <v>1993</v>
      </c>
      <c r="CU367" s="213" t="s">
        <v>883</v>
      </c>
      <c r="CV367" s="214" t="s">
        <v>884</v>
      </c>
      <c r="CX367" s="212">
        <v>1</v>
      </c>
    </row>
    <row r="368" spans="91:102" ht="21" customHeight="1">
      <c r="CM368" s="210"/>
      <c r="CN368" s="213" t="s">
        <v>2058</v>
      </c>
      <c r="CO368" s="213" t="s">
        <v>886</v>
      </c>
      <c r="CP368" s="213" t="s">
        <v>879</v>
      </c>
      <c r="CQ368" s="213" t="s">
        <v>2059</v>
      </c>
      <c r="CR368" s="213" t="s">
        <v>2060</v>
      </c>
      <c r="CS368" s="213" t="s">
        <v>881</v>
      </c>
      <c r="CT368" s="213" t="s">
        <v>1993</v>
      </c>
      <c r="CU368" s="213" t="s">
        <v>883</v>
      </c>
      <c r="CV368" s="214" t="s">
        <v>884</v>
      </c>
      <c r="CX368" s="212">
        <v>1</v>
      </c>
    </row>
    <row r="369" spans="91:102" ht="21" customHeight="1">
      <c r="CM369" s="210"/>
      <c r="CN369" s="213" t="s">
        <v>2061</v>
      </c>
      <c r="CO369" s="213" t="s">
        <v>886</v>
      </c>
      <c r="CP369" s="213" t="s">
        <v>879</v>
      </c>
      <c r="CQ369" s="213" t="s">
        <v>2062</v>
      </c>
      <c r="CR369" s="213" t="s">
        <v>2063</v>
      </c>
      <c r="CS369" s="213" t="s">
        <v>881</v>
      </c>
      <c r="CT369" s="213" t="s">
        <v>1993</v>
      </c>
      <c r="CU369" s="213" t="s">
        <v>883</v>
      </c>
      <c r="CV369" s="214" t="s">
        <v>884</v>
      </c>
      <c r="CX369" s="212">
        <v>1</v>
      </c>
    </row>
    <row r="370" spans="91:102" ht="21" customHeight="1">
      <c r="CM370" s="210"/>
      <c r="CN370" s="213" t="s">
        <v>2064</v>
      </c>
      <c r="CO370" s="213" t="s">
        <v>886</v>
      </c>
      <c r="CP370" s="213" t="s">
        <v>879</v>
      </c>
      <c r="CQ370" s="213" t="s">
        <v>2065</v>
      </c>
      <c r="CR370" s="213" t="s">
        <v>2065</v>
      </c>
      <c r="CS370" s="213" t="s">
        <v>881</v>
      </c>
      <c r="CT370" s="213" t="s">
        <v>1993</v>
      </c>
      <c r="CU370" s="213" t="s">
        <v>883</v>
      </c>
      <c r="CV370" s="214" t="s">
        <v>884</v>
      </c>
      <c r="CX370" s="212">
        <v>1</v>
      </c>
    </row>
    <row r="371" spans="91:102" ht="21" customHeight="1">
      <c r="CM371" s="210"/>
      <c r="CN371" s="213" t="s">
        <v>2066</v>
      </c>
      <c r="CO371" s="213" t="s">
        <v>886</v>
      </c>
      <c r="CP371" s="213" t="s">
        <v>879</v>
      </c>
      <c r="CQ371" s="213" t="s">
        <v>2067</v>
      </c>
      <c r="CR371" s="213" t="s">
        <v>2067</v>
      </c>
      <c r="CS371" s="213" t="s">
        <v>881</v>
      </c>
      <c r="CT371" s="213" t="s">
        <v>1993</v>
      </c>
      <c r="CU371" s="213" t="s">
        <v>883</v>
      </c>
      <c r="CV371" s="214" t="s">
        <v>884</v>
      </c>
      <c r="CX371" s="212">
        <v>1</v>
      </c>
    </row>
    <row r="372" spans="91:102" ht="21" customHeight="1">
      <c r="CM372" s="210"/>
      <c r="CN372" s="213" t="s">
        <v>2068</v>
      </c>
      <c r="CO372" s="213" t="s">
        <v>886</v>
      </c>
      <c r="CP372" s="213" t="s">
        <v>879</v>
      </c>
      <c r="CQ372" s="213" t="s">
        <v>2069</v>
      </c>
      <c r="CR372" s="213" t="s">
        <v>2069</v>
      </c>
      <c r="CS372" s="213" t="s">
        <v>881</v>
      </c>
      <c r="CT372" s="213" t="s">
        <v>1993</v>
      </c>
      <c r="CU372" s="213" t="s">
        <v>883</v>
      </c>
      <c r="CV372" s="214" t="s">
        <v>884</v>
      </c>
      <c r="CX372" s="212">
        <v>1</v>
      </c>
    </row>
    <row r="373" spans="91:102" ht="21" customHeight="1">
      <c r="CM373" s="210"/>
      <c r="CN373" s="213" t="s">
        <v>2070</v>
      </c>
      <c r="CO373" s="213" t="s">
        <v>886</v>
      </c>
      <c r="CP373" s="213" t="s">
        <v>879</v>
      </c>
      <c r="CQ373" s="213" t="s">
        <v>2071</v>
      </c>
      <c r="CR373" s="213" t="s">
        <v>2071</v>
      </c>
      <c r="CS373" s="213" t="s">
        <v>881</v>
      </c>
      <c r="CT373" s="213" t="s">
        <v>1993</v>
      </c>
      <c r="CU373" s="213" t="s">
        <v>883</v>
      </c>
      <c r="CV373" s="214" t="s">
        <v>884</v>
      </c>
      <c r="CX373" s="212">
        <v>1</v>
      </c>
    </row>
    <row r="374" spans="91:102" ht="21" customHeight="1">
      <c r="CM374" s="210"/>
      <c r="CN374" s="213" t="s">
        <v>2072</v>
      </c>
      <c r="CO374" s="213" t="s">
        <v>886</v>
      </c>
      <c r="CP374" s="213" t="s">
        <v>879</v>
      </c>
      <c r="CQ374" s="213" t="s">
        <v>2073</v>
      </c>
      <c r="CR374" s="213" t="s">
        <v>2073</v>
      </c>
      <c r="CS374" s="213" t="s">
        <v>881</v>
      </c>
      <c r="CT374" s="213" t="s">
        <v>1993</v>
      </c>
      <c r="CU374" s="213" t="s">
        <v>883</v>
      </c>
      <c r="CV374" s="214" t="s">
        <v>884</v>
      </c>
      <c r="CX374" s="212">
        <v>1</v>
      </c>
    </row>
    <row r="375" spans="91:102" ht="21" customHeight="1">
      <c r="CM375" s="210"/>
      <c r="CN375" s="213" t="s">
        <v>2074</v>
      </c>
      <c r="CO375" s="213" t="s">
        <v>886</v>
      </c>
      <c r="CP375" s="213" t="s">
        <v>879</v>
      </c>
      <c r="CQ375" s="213" t="s">
        <v>2075</v>
      </c>
      <c r="CR375" s="213" t="s">
        <v>2076</v>
      </c>
      <c r="CS375" s="213" t="s">
        <v>881</v>
      </c>
      <c r="CT375" s="213" t="s">
        <v>1993</v>
      </c>
      <c r="CU375" s="213" t="s">
        <v>883</v>
      </c>
      <c r="CV375" s="214" t="s">
        <v>884</v>
      </c>
      <c r="CX375" s="212">
        <v>1</v>
      </c>
    </row>
    <row r="376" spans="91:102" ht="21" customHeight="1">
      <c r="CM376" s="210"/>
      <c r="CN376" s="213" t="s">
        <v>2077</v>
      </c>
      <c r="CO376" s="213" t="s">
        <v>886</v>
      </c>
      <c r="CP376" s="213" t="s">
        <v>879</v>
      </c>
      <c r="CQ376" s="213" t="s">
        <v>2078</v>
      </c>
      <c r="CR376" s="213" t="s">
        <v>2079</v>
      </c>
      <c r="CS376" s="213" t="s">
        <v>881</v>
      </c>
      <c r="CT376" s="213" t="s">
        <v>1993</v>
      </c>
      <c r="CU376" s="213" t="s">
        <v>883</v>
      </c>
      <c r="CV376" s="214" t="s">
        <v>884</v>
      </c>
      <c r="CX376" s="212">
        <v>1</v>
      </c>
    </row>
    <row r="377" spans="91:102" ht="21" customHeight="1">
      <c r="CM377" s="210"/>
      <c r="CN377" s="213" t="s">
        <v>2080</v>
      </c>
      <c r="CO377" s="213" t="s">
        <v>886</v>
      </c>
      <c r="CP377" s="213" t="s">
        <v>879</v>
      </c>
      <c r="CQ377" s="213" t="s">
        <v>2081</v>
      </c>
      <c r="CR377" s="213" t="s">
        <v>2082</v>
      </c>
      <c r="CS377" s="213" t="s">
        <v>881</v>
      </c>
      <c r="CT377" s="213" t="s">
        <v>1993</v>
      </c>
      <c r="CU377" s="213" t="s">
        <v>883</v>
      </c>
      <c r="CV377" s="214" t="s">
        <v>884</v>
      </c>
      <c r="CX377" s="212">
        <v>1</v>
      </c>
    </row>
    <row r="378" spans="91:102" ht="21" customHeight="1">
      <c r="CM378" s="210"/>
      <c r="CN378" s="213" t="s">
        <v>2083</v>
      </c>
      <c r="CO378" s="213" t="s">
        <v>886</v>
      </c>
      <c r="CP378" s="213" t="s">
        <v>879</v>
      </c>
      <c r="CQ378" s="213" t="s">
        <v>2084</v>
      </c>
      <c r="CR378" s="213" t="s">
        <v>2085</v>
      </c>
      <c r="CS378" s="213" t="s">
        <v>881</v>
      </c>
      <c r="CT378" s="213" t="s">
        <v>1993</v>
      </c>
      <c r="CU378" s="213" t="s">
        <v>883</v>
      </c>
      <c r="CV378" s="214" t="s">
        <v>884</v>
      </c>
      <c r="CX378" s="212">
        <v>1</v>
      </c>
    </row>
    <row r="379" spans="91:102" ht="21" customHeight="1">
      <c r="CM379" s="210"/>
      <c r="CN379" s="213" t="s">
        <v>2086</v>
      </c>
      <c r="CO379" s="213" t="s">
        <v>886</v>
      </c>
      <c r="CP379" s="213" t="s">
        <v>879</v>
      </c>
      <c r="CQ379" s="213" t="s">
        <v>2087</v>
      </c>
      <c r="CR379" s="213" t="s">
        <v>2088</v>
      </c>
      <c r="CS379" s="213" t="s">
        <v>881</v>
      </c>
      <c r="CT379" s="213" t="s">
        <v>1993</v>
      </c>
      <c r="CU379" s="213" t="s">
        <v>883</v>
      </c>
      <c r="CV379" s="214" t="s">
        <v>884</v>
      </c>
      <c r="CX379" s="212">
        <v>1</v>
      </c>
    </row>
    <row r="380" spans="91:102" ht="21" customHeight="1">
      <c r="CM380" s="210"/>
      <c r="CN380" s="213" t="s">
        <v>2089</v>
      </c>
      <c r="CO380" s="213" t="s">
        <v>886</v>
      </c>
      <c r="CP380" s="213" t="s">
        <v>879</v>
      </c>
      <c r="CQ380" s="213" t="s">
        <v>2090</v>
      </c>
      <c r="CR380" s="213" t="s">
        <v>2091</v>
      </c>
      <c r="CS380" s="213" t="s">
        <v>881</v>
      </c>
      <c r="CT380" s="213" t="s">
        <v>1993</v>
      </c>
      <c r="CU380" s="213" t="s">
        <v>883</v>
      </c>
      <c r="CV380" s="214" t="s">
        <v>884</v>
      </c>
      <c r="CX380" s="212">
        <v>1</v>
      </c>
    </row>
    <row r="381" spans="91:102" ht="21" customHeight="1">
      <c r="CM381" s="210"/>
      <c r="CN381" s="213" t="s">
        <v>2092</v>
      </c>
      <c r="CO381" s="213" t="s">
        <v>886</v>
      </c>
      <c r="CP381" s="213" t="s">
        <v>879</v>
      </c>
      <c r="CQ381" s="213" t="s">
        <v>2093</v>
      </c>
      <c r="CR381" s="213" t="s">
        <v>2094</v>
      </c>
      <c r="CS381" s="213" t="s">
        <v>881</v>
      </c>
      <c r="CT381" s="213" t="s">
        <v>1993</v>
      </c>
      <c r="CU381" s="213" t="s">
        <v>883</v>
      </c>
      <c r="CV381" s="214" t="s">
        <v>884</v>
      </c>
      <c r="CX381" s="212">
        <v>1</v>
      </c>
    </row>
    <row r="382" spans="91:102" ht="21" customHeight="1">
      <c r="CM382" s="210"/>
      <c r="CN382" s="213" t="s">
        <v>2095</v>
      </c>
      <c r="CO382" s="213" t="s">
        <v>886</v>
      </c>
      <c r="CP382" s="213" t="s">
        <v>879</v>
      </c>
      <c r="CQ382" s="213" t="s">
        <v>2096</v>
      </c>
      <c r="CR382" s="213" t="s">
        <v>2096</v>
      </c>
      <c r="CS382" s="213" t="s">
        <v>881</v>
      </c>
      <c r="CT382" s="213" t="s">
        <v>1993</v>
      </c>
      <c r="CU382" s="213" t="s">
        <v>883</v>
      </c>
      <c r="CV382" s="214" t="s">
        <v>884</v>
      </c>
      <c r="CX382" s="212">
        <v>1</v>
      </c>
    </row>
    <row r="383" spans="91:102" ht="21" customHeight="1">
      <c r="CM383" s="210"/>
      <c r="CN383" s="213" t="s">
        <v>2097</v>
      </c>
      <c r="CO383" s="213" t="s">
        <v>886</v>
      </c>
      <c r="CP383" s="213" t="s">
        <v>879</v>
      </c>
      <c r="CQ383" s="213" t="s">
        <v>2098</v>
      </c>
      <c r="CR383" s="213" t="s">
        <v>2098</v>
      </c>
      <c r="CS383" s="213" t="s">
        <v>881</v>
      </c>
      <c r="CT383" s="213" t="s">
        <v>1993</v>
      </c>
      <c r="CU383" s="213" t="s">
        <v>883</v>
      </c>
      <c r="CV383" s="214" t="s">
        <v>884</v>
      </c>
      <c r="CX383" s="212">
        <v>1</v>
      </c>
    </row>
    <row r="384" spans="91:102" ht="21" customHeight="1">
      <c r="CM384" s="210"/>
      <c r="CN384" s="213" t="s">
        <v>2099</v>
      </c>
      <c r="CO384" s="213" t="s">
        <v>886</v>
      </c>
      <c r="CP384" s="213" t="s">
        <v>879</v>
      </c>
      <c r="CQ384" s="213" t="s">
        <v>2100</v>
      </c>
      <c r="CR384" s="213" t="s">
        <v>2100</v>
      </c>
      <c r="CS384" s="213" t="s">
        <v>881</v>
      </c>
      <c r="CT384" s="213" t="s">
        <v>1993</v>
      </c>
      <c r="CU384" s="213" t="s">
        <v>883</v>
      </c>
      <c r="CV384" s="214" t="s">
        <v>884</v>
      </c>
      <c r="CX384" s="212">
        <v>1</v>
      </c>
    </row>
    <row r="385" spans="91:102" ht="21" customHeight="1">
      <c r="CM385" s="210"/>
      <c r="CN385" s="213" t="s">
        <v>2101</v>
      </c>
      <c r="CO385" s="213" t="s">
        <v>886</v>
      </c>
      <c r="CP385" s="213" t="s">
        <v>879</v>
      </c>
      <c r="CQ385" s="213" t="s">
        <v>2102</v>
      </c>
      <c r="CR385" s="213" t="s">
        <v>2103</v>
      </c>
      <c r="CS385" s="213" t="s">
        <v>881</v>
      </c>
      <c r="CT385" s="213" t="s">
        <v>1993</v>
      </c>
      <c r="CU385" s="213" t="s">
        <v>883</v>
      </c>
      <c r="CV385" s="214" t="s">
        <v>884</v>
      </c>
      <c r="CX385" s="212">
        <v>1</v>
      </c>
    </row>
    <row r="386" spans="91:102" ht="21" customHeight="1">
      <c r="CM386" s="210"/>
      <c r="CN386" s="213" t="s">
        <v>2104</v>
      </c>
      <c r="CO386" s="213" t="s">
        <v>886</v>
      </c>
      <c r="CP386" s="213" t="s">
        <v>879</v>
      </c>
      <c r="CQ386" s="213" t="s">
        <v>2105</v>
      </c>
      <c r="CR386" s="213" t="s">
        <v>2105</v>
      </c>
      <c r="CS386" s="213" t="s">
        <v>881</v>
      </c>
      <c r="CT386" s="213" t="s">
        <v>1993</v>
      </c>
      <c r="CU386" s="213" t="s">
        <v>883</v>
      </c>
      <c r="CV386" s="214" t="s">
        <v>884</v>
      </c>
      <c r="CX386" s="212">
        <v>1</v>
      </c>
    </row>
    <row r="387" spans="91:102" ht="21" customHeight="1">
      <c r="CM387" s="210"/>
      <c r="CN387" s="213" t="s">
        <v>2106</v>
      </c>
      <c r="CO387" s="213" t="s">
        <v>886</v>
      </c>
      <c r="CP387" s="213" t="s">
        <v>879</v>
      </c>
      <c r="CQ387" s="213" t="s">
        <v>2107</v>
      </c>
      <c r="CR387" s="213" t="s">
        <v>2107</v>
      </c>
      <c r="CS387" s="213" t="s">
        <v>881</v>
      </c>
      <c r="CT387" s="213" t="s">
        <v>1993</v>
      </c>
      <c r="CU387" s="213" t="s">
        <v>883</v>
      </c>
      <c r="CV387" s="214" t="s">
        <v>884</v>
      </c>
      <c r="CX387" s="212">
        <v>1</v>
      </c>
    </row>
    <row r="388" spans="91:102" ht="21" customHeight="1">
      <c r="CM388" s="210"/>
      <c r="CN388" s="213" t="s">
        <v>2108</v>
      </c>
      <c r="CO388" s="213" t="s">
        <v>886</v>
      </c>
      <c r="CP388" s="213" t="s">
        <v>879</v>
      </c>
      <c r="CQ388" s="213" t="s">
        <v>2109</v>
      </c>
      <c r="CR388" s="213" t="s">
        <v>2110</v>
      </c>
      <c r="CS388" s="213" t="s">
        <v>881</v>
      </c>
      <c r="CT388" s="213" t="s">
        <v>1993</v>
      </c>
      <c r="CU388" s="213" t="s">
        <v>883</v>
      </c>
      <c r="CV388" s="214" t="s">
        <v>884</v>
      </c>
      <c r="CX388" s="212">
        <v>1</v>
      </c>
    </row>
    <row r="389" spans="91:102" ht="21" customHeight="1">
      <c r="CM389" s="210"/>
      <c r="CN389" s="213" t="s">
        <v>2111</v>
      </c>
      <c r="CO389" s="213" t="s">
        <v>886</v>
      </c>
      <c r="CP389" s="213" t="s">
        <v>879</v>
      </c>
      <c r="CQ389" s="213" t="s">
        <v>1230</v>
      </c>
      <c r="CR389" s="213" t="s">
        <v>1231</v>
      </c>
      <c r="CS389" s="213" t="s">
        <v>881</v>
      </c>
      <c r="CT389" s="213" t="s">
        <v>1993</v>
      </c>
      <c r="CU389" s="213" t="s">
        <v>883</v>
      </c>
      <c r="CV389" s="214" t="s">
        <v>884</v>
      </c>
      <c r="CX389" s="212">
        <v>1</v>
      </c>
    </row>
    <row r="390" spans="91:102" ht="21" customHeight="1">
      <c r="CM390" s="210"/>
      <c r="CN390" s="213" t="s">
        <v>2112</v>
      </c>
      <c r="CO390" s="213" t="s">
        <v>886</v>
      </c>
      <c r="CP390" s="213" t="s">
        <v>879</v>
      </c>
      <c r="CQ390" s="213" t="s">
        <v>2113</v>
      </c>
      <c r="CR390" s="213" t="s">
        <v>2114</v>
      </c>
      <c r="CS390" s="213" t="s">
        <v>881</v>
      </c>
      <c r="CT390" s="213" t="s">
        <v>1993</v>
      </c>
      <c r="CU390" s="213" t="s">
        <v>883</v>
      </c>
      <c r="CV390" s="214" t="s">
        <v>884</v>
      </c>
      <c r="CX390" s="212">
        <v>1</v>
      </c>
    </row>
    <row r="391" spans="91:102" ht="21" customHeight="1">
      <c r="CM391" s="210"/>
      <c r="CN391" s="213" t="s">
        <v>2115</v>
      </c>
      <c r="CO391" s="213" t="s">
        <v>886</v>
      </c>
      <c r="CP391" s="213" t="s">
        <v>879</v>
      </c>
      <c r="CQ391" s="213" t="s">
        <v>1330</v>
      </c>
      <c r="CR391" s="213" t="s">
        <v>1330</v>
      </c>
      <c r="CS391" s="213" t="s">
        <v>881</v>
      </c>
      <c r="CT391" s="213" t="s">
        <v>1993</v>
      </c>
      <c r="CU391" s="213" t="s">
        <v>883</v>
      </c>
      <c r="CV391" s="214" t="s">
        <v>884</v>
      </c>
      <c r="CX391" s="212">
        <v>1</v>
      </c>
    </row>
    <row r="392" spans="91:102" ht="21" customHeight="1">
      <c r="CM392" s="210"/>
      <c r="CN392" s="213" t="s">
        <v>2116</v>
      </c>
      <c r="CO392" s="213" t="s">
        <v>886</v>
      </c>
      <c r="CP392" s="213" t="s">
        <v>879</v>
      </c>
      <c r="CQ392" s="213" t="s">
        <v>2117</v>
      </c>
      <c r="CR392" s="213" t="s">
        <v>2117</v>
      </c>
      <c r="CS392" s="213" t="s">
        <v>881</v>
      </c>
      <c r="CT392" s="213" t="s">
        <v>1993</v>
      </c>
      <c r="CU392" s="213" t="s">
        <v>883</v>
      </c>
      <c r="CV392" s="214" t="s">
        <v>884</v>
      </c>
      <c r="CX392" s="212">
        <v>1</v>
      </c>
    </row>
    <row r="393" spans="91:102" ht="21" customHeight="1">
      <c r="CM393" s="210"/>
      <c r="CN393" s="213" t="s">
        <v>2118</v>
      </c>
      <c r="CO393" s="213" t="s">
        <v>886</v>
      </c>
      <c r="CP393" s="213" t="s">
        <v>879</v>
      </c>
      <c r="CQ393" s="213" t="s">
        <v>2119</v>
      </c>
      <c r="CR393" s="213" t="s">
        <v>2119</v>
      </c>
      <c r="CS393" s="213" t="s">
        <v>881</v>
      </c>
      <c r="CT393" s="213" t="s">
        <v>1993</v>
      </c>
      <c r="CU393" s="213" t="s">
        <v>883</v>
      </c>
      <c r="CV393" s="214" t="s">
        <v>884</v>
      </c>
      <c r="CX393" s="212">
        <v>1</v>
      </c>
    </row>
    <row r="394" spans="91:102" ht="21" customHeight="1">
      <c r="CM394" s="210"/>
      <c r="CN394" s="213" t="s">
        <v>2120</v>
      </c>
      <c r="CO394" s="213" t="s">
        <v>886</v>
      </c>
      <c r="CP394" s="213" t="s">
        <v>879</v>
      </c>
      <c r="CQ394" s="213" t="s">
        <v>2121</v>
      </c>
      <c r="CR394" s="213" t="s">
        <v>2121</v>
      </c>
      <c r="CS394" s="213" t="s">
        <v>881</v>
      </c>
      <c r="CT394" s="213" t="s">
        <v>1993</v>
      </c>
      <c r="CU394" s="213" t="s">
        <v>883</v>
      </c>
      <c r="CV394" s="214" t="s">
        <v>884</v>
      </c>
      <c r="CX394" s="212">
        <v>1</v>
      </c>
    </row>
    <row r="395" spans="91:102" ht="21" customHeight="1">
      <c r="CM395" s="210"/>
      <c r="CN395" s="213" t="s">
        <v>2122</v>
      </c>
      <c r="CO395" s="213" t="s">
        <v>886</v>
      </c>
      <c r="CP395" s="213" t="s">
        <v>879</v>
      </c>
      <c r="CQ395" s="213" t="s">
        <v>2123</v>
      </c>
      <c r="CR395" s="213" t="s">
        <v>2124</v>
      </c>
      <c r="CS395" s="213" t="s">
        <v>881</v>
      </c>
      <c r="CT395" s="213" t="s">
        <v>1993</v>
      </c>
      <c r="CU395" s="213" t="s">
        <v>883</v>
      </c>
      <c r="CV395" s="214" t="s">
        <v>884</v>
      </c>
      <c r="CX395" s="212">
        <v>1</v>
      </c>
    </row>
    <row r="396" spans="91:102" ht="21" customHeight="1">
      <c r="CM396" s="210"/>
      <c r="CN396" s="213" t="s">
        <v>2125</v>
      </c>
      <c r="CO396" s="213" t="s">
        <v>886</v>
      </c>
      <c r="CP396" s="213" t="s">
        <v>879</v>
      </c>
      <c r="CQ396" s="213" t="s">
        <v>2126</v>
      </c>
      <c r="CR396" s="213" t="s">
        <v>2126</v>
      </c>
      <c r="CS396" s="213" t="s">
        <v>881</v>
      </c>
      <c r="CT396" s="213" t="s">
        <v>1993</v>
      </c>
      <c r="CU396" s="213" t="s">
        <v>883</v>
      </c>
      <c r="CV396" s="214" t="s">
        <v>884</v>
      </c>
      <c r="CX396" s="212">
        <v>1</v>
      </c>
    </row>
    <row r="397" spans="91:102" ht="21" customHeight="1">
      <c r="CM397" s="210"/>
      <c r="CN397" s="213" t="s">
        <v>2127</v>
      </c>
      <c r="CO397" s="213" t="s">
        <v>886</v>
      </c>
      <c r="CP397" s="213" t="s">
        <v>879</v>
      </c>
      <c r="CQ397" s="213" t="s">
        <v>2128</v>
      </c>
      <c r="CR397" s="213" t="s">
        <v>2129</v>
      </c>
      <c r="CS397" s="213" t="s">
        <v>881</v>
      </c>
      <c r="CT397" s="213" t="s">
        <v>1993</v>
      </c>
      <c r="CU397" s="213" t="s">
        <v>883</v>
      </c>
      <c r="CV397" s="214" t="s">
        <v>884</v>
      </c>
      <c r="CX397" s="212">
        <v>1</v>
      </c>
    </row>
    <row r="398" spans="91:102" ht="21" customHeight="1">
      <c r="CM398" s="210"/>
      <c r="CN398" s="213" t="s">
        <v>2130</v>
      </c>
      <c r="CO398" s="213" t="s">
        <v>886</v>
      </c>
      <c r="CP398" s="213" t="s">
        <v>879</v>
      </c>
      <c r="CQ398" s="213" t="s">
        <v>2131</v>
      </c>
      <c r="CR398" s="213" t="s">
        <v>2131</v>
      </c>
      <c r="CS398" s="213" t="s">
        <v>881</v>
      </c>
      <c r="CT398" s="213" t="s">
        <v>1993</v>
      </c>
      <c r="CU398" s="213" t="s">
        <v>883</v>
      </c>
      <c r="CV398" s="214" t="s">
        <v>884</v>
      </c>
      <c r="CX398" s="212">
        <v>1</v>
      </c>
    </row>
    <row r="399" spans="91:102" ht="21" customHeight="1">
      <c r="CM399" s="210"/>
      <c r="CN399" s="213" t="s">
        <v>2132</v>
      </c>
      <c r="CO399" s="213" t="s">
        <v>886</v>
      </c>
      <c r="CP399" s="213" t="s">
        <v>1543</v>
      </c>
      <c r="CQ399" s="213" t="s">
        <v>2133</v>
      </c>
      <c r="CR399" s="213" t="s">
        <v>2133</v>
      </c>
      <c r="CS399" s="213" t="s">
        <v>881</v>
      </c>
      <c r="CT399" s="213" t="s">
        <v>2134</v>
      </c>
      <c r="CU399" s="213" t="s">
        <v>883</v>
      </c>
      <c r="CV399" s="214" t="s">
        <v>884</v>
      </c>
      <c r="CX399" s="212">
        <v>1</v>
      </c>
    </row>
    <row r="400" spans="91:102" ht="21" customHeight="1">
      <c r="CM400" s="210"/>
      <c r="CN400" s="213" t="s">
        <v>2135</v>
      </c>
      <c r="CO400" s="213" t="s">
        <v>886</v>
      </c>
      <c r="CP400" s="213" t="s">
        <v>1543</v>
      </c>
      <c r="CQ400" s="213" t="s">
        <v>2136</v>
      </c>
      <c r="CR400" s="213" t="s">
        <v>2136</v>
      </c>
      <c r="CS400" s="213" t="s">
        <v>881</v>
      </c>
      <c r="CT400" s="213" t="s">
        <v>2134</v>
      </c>
      <c r="CU400" s="213" t="s">
        <v>883</v>
      </c>
      <c r="CV400" s="214" t="s">
        <v>884</v>
      </c>
      <c r="CX400" s="212">
        <v>1</v>
      </c>
    </row>
    <row r="401" spans="91:102" ht="21" customHeight="1">
      <c r="CM401" s="210"/>
      <c r="CN401" s="213" t="s">
        <v>2137</v>
      </c>
      <c r="CO401" s="213" t="s">
        <v>886</v>
      </c>
      <c r="CP401" s="213" t="s">
        <v>1543</v>
      </c>
      <c r="CQ401" s="213" t="s">
        <v>1544</v>
      </c>
      <c r="CR401" s="213" t="s">
        <v>1544</v>
      </c>
      <c r="CS401" s="213" t="s">
        <v>881</v>
      </c>
      <c r="CT401" s="213" t="s">
        <v>2134</v>
      </c>
      <c r="CU401" s="213" t="s">
        <v>883</v>
      </c>
      <c r="CV401" s="214" t="s">
        <v>884</v>
      </c>
      <c r="CX401" s="212">
        <v>1</v>
      </c>
    </row>
    <row r="402" spans="91:102" ht="21" customHeight="1">
      <c r="CM402" s="210"/>
      <c r="CN402" s="213" t="s">
        <v>2138</v>
      </c>
      <c r="CO402" s="213" t="s">
        <v>886</v>
      </c>
      <c r="CP402" s="213" t="s">
        <v>1543</v>
      </c>
      <c r="CQ402" s="213" t="s">
        <v>1011</v>
      </c>
      <c r="CR402" s="213" t="s">
        <v>1011</v>
      </c>
      <c r="CS402" s="213" t="s">
        <v>881</v>
      </c>
      <c r="CT402" s="213" t="s">
        <v>2134</v>
      </c>
      <c r="CU402" s="213" t="s">
        <v>883</v>
      </c>
      <c r="CV402" s="214" t="s">
        <v>884</v>
      </c>
      <c r="CX402" s="212">
        <v>1</v>
      </c>
    </row>
    <row r="403" spans="91:102" ht="21" customHeight="1">
      <c r="CM403" s="210"/>
      <c r="CN403" s="213" t="s">
        <v>2139</v>
      </c>
      <c r="CO403" s="213" t="s">
        <v>886</v>
      </c>
      <c r="CP403" s="213" t="s">
        <v>1543</v>
      </c>
      <c r="CQ403" s="213" t="s">
        <v>2140</v>
      </c>
      <c r="CR403" s="213" t="s">
        <v>2140</v>
      </c>
      <c r="CS403" s="213" t="s">
        <v>881</v>
      </c>
      <c r="CT403" s="213" t="s">
        <v>2134</v>
      </c>
      <c r="CU403" s="213" t="s">
        <v>883</v>
      </c>
      <c r="CV403" s="214" t="s">
        <v>884</v>
      </c>
      <c r="CX403" s="212">
        <v>1</v>
      </c>
    </row>
    <row r="404" spans="91:102" ht="21" customHeight="1">
      <c r="CM404" s="210"/>
      <c r="CN404" s="213" t="s">
        <v>2141</v>
      </c>
      <c r="CO404" s="213" t="s">
        <v>886</v>
      </c>
      <c r="CP404" s="213" t="s">
        <v>1543</v>
      </c>
      <c r="CQ404" s="213" t="s">
        <v>1551</v>
      </c>
      <c r="CR404" s="213" t="s">
        <v>1551</v>
      </c>
      <c r="CS404" s="213" t="s">
        <v>971</v>
      </c>
      <c r="CT404" s="213" t="s">
        <v>1552</v>
      </c>
      <c r="CU404" s="213" t="s">
        <v>883</v>
      </c>
      <c r="CV404" s="214" t="s">
        <v>973</v>
      </c>
      <c r="CX404" s="212">
        <v>1</v>
      </c>
    </row>
    <row r="405" spans="91:102" ht="21" customHeight="1">
      <c r="CM405" s="210"/>
      <c r="CN405" s="213" t="s">
        <v>2142</v>
      </c>
      <c r="CO405" s="213" t="s">
        <v>886</v>
      </c>
      <c r="CP405" s="213" t="s">
        <v>1543</v>
      </c>
      <c r="CQ405" s="213" t="s">
        <v>1556</v>
      </c>
      <c r="CR405" s="213" t="s">
        <v>1556</v>
      </c>
      <c r="CS405" s="213" t="s">
        <v>971</v>
      </c>
      <c r="CT405" s="213" t="s">
        <v>1552</v>
      </c>
      <c r="CU405" s="213" t="s">
        <v>883</v>
      </c>
      <c r="CV405" s="214" t="s">
        <v>973</v>
      </c>
      <c r="CX405" s="212">
        <v>1</v>
      </c>
    </row>
    <row r="406" spans="91:102" ht="21" customHeight="1">
      <c r="CM406" s="210"/>
      <c r="CN406" s="213" t="s">
        <v>2143</v>
      </c>
      <c r="CO406" s="213" t="s">
        <v>886</v>
      </c>
      <c r="CP406" s="213" t="s">
        <v>1543</v>
      </c>
      <c r="CQ406" s="213" t="s">
        <v>2144</v>
      </c>
      <c r="CR406" s="213" t="s">
        <v>2144</v>
      </c>
      <c r="CS406" s="213" t="s">
        <v>881</v>
      </c>
      <c r="CT406" s="213" t="s">
        <v>2134</v>
      </c>
      <c r="CU406" s="213" t="s">
        <v>883</v>
      </c>
      <c r="CV406" s="214" t="s">
        <v>884</v>
      </c>
      <c r="CX406" s="212">
        <v>1</v>
      </c>
    </row>
    <row r="407" spans="91:102" ht="21" customHeight="1">
      <c r="CM407" s="210"/>
      <c r="CN407" s="213" t="s">
        <v>2145</v>
      </c>
      <c r="CO407" s="213" t="s">
        <v>886</v>
      </c>
      <c r="CP407" s="213" t="s">
        <v>1543</v>
      </c>
      <c r="CQ407" s="213" t="s">
        <v>1561</v>
      </c>
      <c r="CR407" s="213" t="s">
        <v>1561</v>
      </c>
      <c r="CS407" s="213" t="s">
        <v>881</v>
      </c>
      <c r="CT407" s="213" t="s">
        <v>2134</v>
      </c>
      <c r="CU407" s="213" t="s">
        <v>883</v>
      </c>
      <c r="CV407" s="214" t="s">
        <v>884</v>
      </c>
      <c r="CX407" s="212">
        <v>1</v>
      </c>
    </row>
    <row r="408" spans="91:102" ht="21" customHeight="1">
      <c r="CM408" s="210"/>
      <c r="CN408" s="213" t="s">
        <v>2146</v>
      </c>
      <c r="CO408" s="213" t="s">
        <v>886</v>
      </c>
      <c r="CP408" s="213" t="s">
        <v>1543</v>
      </c>
      <c r="CQ408" s="213" t="s">
        <v>2147</v>
      </c>
      <c r="CR408" s="213" t="s">
        <v>2148</v>
      </c>
      <c r="CS408" s="213" t="s">
        <v>881</v>
      </c>
      <c r="CT408" s="213" t="s">
        <v>2134</v>
      </c>
      <c r="CU408" s="213" t="s">
        <v>883</v>
      </c>
      <c r="CV408" s="214" t="s">
        <v>884</v>
      </c>
      <c r="CX408" s="212">
        <v>1</v>
      </c>
    </row>
    <row r="409" spans="91:102" ht="21" customHeight="1">
      <c r="CM409" s="210"/>
      <c r="CN409" s="213" t="s">
        <v>2149</v>
      </c>
      <c r="CO409" s="213" t="s">
        <v>886</v>
      </c>
      <c r="CP409" s="213" t="s">
        <v>1543</v>
      </c>
      <c r="CQ409" s="213" t="s">
        <v>2150</v>
      </c>
      <c r="CR409" s="213" t="s">
        <v>2150</v>
      </c>
      <c r="CS409" s="213" t="s">
        <v>881</v>
      </c>
      <c r="CT409" s="213" t="s">
        <v>2134</v>
      </c>
      <c r="CU409" s="213" t="s">
        <v>883</v>
      </c>
      <c r="CV409" s="214" t="s">
        <v>884</v>
      </c>
      <c r="CX409" s="212">
        <v>1</v>
      </c>
    </row>
    <row r="410" spans="91:102" ht="21" customHeight="1">
      <c r="CM410" s="210"/>
      <c r="CN410" s="213" t="s">
        <v>2151</v>
      </c>
      <c r="CO410" s="213" t="s">
        <v>886</v>
      </c>
      <c r="CP410" s="213" t="s">
        <v>1543</v>
      </c>
      <c r="CQ410" s="213" t="s">
        <v>2152</v>
      </c>
      <c r="CR410" s="213" t="s">
        <v>2152</v>
      </c>
      <c r="CS410" s="213" t="s">
        <v>881</v>
      </c>
      <c r="CT410" s="213" t="s">
        <v>2134</v>
      </c>
      <c r="CU410" s="213" t="s">
        <v>883</v>
      </c>
      <c r="CV410" s="214" t="s">
        <v>884</v>
      </c>
      <c r="CX410" s="212">
        <v>1</v>
      </c>
    </row>
    <row r="411" spans="91:102" ht="21" customHeight="1">
      <c r="CM411" s="210"/>
      <c r="CN411" s="213" t="s">
        <v>2153</v>
      </c>
      <c r="CO411" s="213" t="s">
        <v>886</v>
      </c>
      <c r="CP411" s="213" t="s">
        <v>1543</v>
      </c>
      <c r="CQ411" s="213" t="s">
        <v>2154</v>
      </c>
      <c r="CR411" s="213" t="s">
        <v>2154</v>
      </c>
      <c r="CS411" s="213" t="s">
        <v>881</v>
      </c>
      <c r="CT411" s="213" t="s">
        <v>2134</v>
      </c>
      <c r="CU411" s="213" t="s">
        <v>883</v>
      </c>
      <c r="CV411" s="214" t="s">
        <v>884</v>
      </c>
      <c r="CX411" s="212">
        <v>1</v>
      </c>
    </row>
    <row r="412" spans="91:102" ht="21" customHeight="1">
      <c r="CM412" s="210"/>
      <c r="CN412" s="213" t="s">
        <v>2155</v>
      </c>
      <c r="CO412" s="213" t="s">
        <v>886</v>
      </c>
      <c r="CP412" s="213" t="s">
        <v>1543</v>
      </c>
      <c r="CQ412" s="213" t="s">
        <v>2156</v>
      </c>
      <c r="CR412" s="213" t="s">
        <v>2156</v>
      </c>
      <c r="CS412" s="213" t="s">
        <v>881</v>
      </c>
      <c r="CT412" s="213" t="s">
        <v>2134</v>
      </c>
      <c r="CU412" s="213" t="s">
        <v>883</v>
      </c>
      <c r="CV412" s="214" t="s">
        <v>884</v>
      </c>
      <c r="CX412" s="212">
        <v>1</v>
      </c>
    </row>
    <row r="413" spans="91:102" ht="21" customHeight="1">
      <c r="CM413" s="210"/>
      <c r="CN413" s="213" t="s">
        <v>2157</v>
      </c>
      <c r="CO413" s="213" t="s">
        <v>886</v>
      </c>
      <c r="CP413" s="213" t="s">
        <v>1543</v>
      </c>
      <c r="CQ413" s="213" t="s">
        <v>2158</v>
      </c>
      <c r="CR413" s="213" t="s">
        <v>2159</v>
      </c>
      <c r="CS413" s="213" t="s">
        <v>881</v>
      </c>
      <c r="CT413" s="213" t="s">
        <v>2134</v>
      </c>
      <c r="CU413" s="213" t="s">
        <v>883</v>
      </c>
      <c r="CV413" s="214" t="s">
        <v>884</v>
      </c>
      <c r="CX413" s="212">
        <v>1</v>
      </c>
    </row>
    <row r="414" spans="91:102" ht="21" customHeight="1">
      <c r="CM414" s="210"/>
      <c r="CN414" s="213" t="s">
        <v>2160</v>
      </c>
      <c r="CO414" s="213" t="s">
        <v>886</v>
      </c>
      <c r="CP414" s="213" t="s">
        <v>1543</v>
      </c>
      <c r="CQ414" s="213" t="s">
        <v>2161</v>
      </c>
      <c r="CR414" s="213" t="s">
        <v>2162</v>
      </c>
      <c r="CS414" s="213" t="s">
        <v>881</v>
      </c>
      <c r="CT414" s="213" t="s">
        <v>2134</v>
      </c>
      <c r="CU414" s="213" t="s">
        <v>883</v>
      </c>
      <c r="CV414" s="214" t="s">
        <v>884</v>
      </c>
      <c r="CX414" s="212">
        <v>1</v>
      </c>
    </row>
    <row r="415" spans="91:102" ht="21" customHeight="1">
      <c r="CM415" s="210"/>
      <c r="CN415" s="213" t="s">
        <v>2163</v>
      </c>
      <c r="CO415" s="213" t="s">
        <v>886</v>
      </c>
      <c r="CP415" s="213" t="s">
        <v>1543</v>
      </c>
      <c r="CQ415" s="213" t="s">
        <v>1222</v>
      </c>
      <c r="CR415" s="213" t="s">
        <v>1222</v>
      </c>
      <c r="CS415" s="213" t="s">
        <v>881</v>
      </c>
      <c r="CT415" s="213" t="s">
        <v>2134</v>
      </c>
      <c r="CU415" s="213" t="s">
        <v>883</v>
      </c>
      <c r="CV415" s="214" t="s">
        <v>884</v>
      </c>
      <c r="CX415" s="212">
        <v>1</v>
      </c>
    </row>
    <row r="416" spans="91:102" ht="21" customHeight="1">
      <c r="CM416" s="210"/>
      <c r="CN416" s="213" t="s">
        <v>2164</v>
      </c>
      <c r="CO416" s="213" t="s">
        <v>886</v>
      </c>
      <c r="CP416" s="213" t="s">
        <v>1543</v>
      </c>
      <c r="CQ416" s="213" t="s">
        <v>2165</v>
      </c>
      <c r="CR416" s="213" t="s">
        <v>2166</v>
      </c>
      <c r="CS416" s="213" t="s">
        <v>881</v>
      </c>
      <c r="CT416" s="213" t="s">
        <v>2134</v>
      </c>
      <c r="CU416" s="213" t="s">
        <v>883</v>
      </c>
      <c r="CV416" s="214" t="s">
        <v>884</v>
      </c>
      <c r="CX416" s="212">
        <v>1</v>
      </c>
    </row>
    <row r="417" spans="91:102" ht="21" customHeight="1">
      <c r="CM417" s="210"/>
      <c r="CN417" s="213" t="s">
        <v>2167</v>
      </c>
      <c r="CO417" s="213" t="s">
        <v>886</v>
      </c>
      <c r="CP417" s="213" t="s">
        <v>1543</v>
      </c>
      <c r="CQ417" s="213" t="s">
        <v>2168</v>
      </c>
      <c r="CR417" s="213" t="s">
        <v>2169</v>
      </c>
      <c r="CS417" s="213" t="s">
        <v>881</v>
      </c>
      <c r="CT417" s="213" t="s">
        <v>2134</v>
      </c>
      <c r="CU417" s="213" t="s">
        <v>883</v>
      </c>
      <c r="CV417" s="214" t="s">
        <v>884</v>
      </c>
      <c r="CX417" s="212">
        <v>1</v>
      </c>
    </row>
    <row r="418" spans="91:102" ht="21" customHeight="1">
      <c r="CM418" s="210"/>
      <c r="CN418" s="213" t="s">
        <v>2170</v>
      </c>
      <c r="CO418" s="213" t="s">
        <v>886</v>
      </c>
      <c r="CP418" s="213" t="s">
        <v>1543</v>
      </c>
      <c r="CQ418" s="213" t="s">
        <v>2171</v>
      </c>
      <c r="CR418" s="213" t="s">
        <v>2171</v>
      </c>
      <c r="CS418" s="213" t="s">
        <v>881</v>
      </c>
      <c r="CT418" s="213" t="s">
        <v>2134</v>
      </c>
      <c r="CU418" s="213" t="s">
        <v>883</v>
      </c>
      <c r="CV418" s="214" t="s">
        <v>884</v>
      </c>
      <c r="CX418" s="212">
        <v>1</v>
      </c>
    </row>
    <row r="419" spans="91:102" ht="21" customHeight="1">
      <c r="CM419" s="210"/>
      <c r="CN419" s="213" t="s">
        <v>2172</v>
      </c>
      <c r="CO419" s="213" t="s">
        <v>886</v>
      </c>
      <c r="CP419" s="213" t="s">
        <v>1543</v>
      </c>
      <c r="CQ419" s="213" t="s">
        <v>1580</v>
      </c>
      <c r="CR419" s="213" t="s">
        <v>1580</v>
      </c>
      <c r="CS419" s="213" t="s">
        <v>881</v>
      </c>
      <c r="CT419" s="213" t="s">
        <v>2134</v>
      </c>
      <c r="CU419" s="213" t="s">
        <v>883</v>
      </c>
      <c r="CV419" s="214" t="s">
        <v>884</v>
      </c>
      <c r="CX419" s="212">
        <v>1</v>
      </c>
    </row>
    <row r="420" spans="91:102" ht="21" customHeight="1">
      <c r="CM420" s="210"/>
      <c r="CN420" s="213" t="s">
        <v>2173</v>
      </c>
      <c r="CO420" s="213" t="s">
        <v>886</v>
      </c>
      <c r="CP420" s="213" t="s">
        <v>1543</v>
      </c>
      <c r="CQ420" s="213" t="s">
        <v>2174</v>
      </c>
      <c r="CR420" s="213" t="s">
        <v>2174</v>
      </c>
      <c r="CS420" s="213" t="s">
        <v>881</v>
      </c>
      <c r="CT420" s="213" t="s">
        <v>2134</v>
      </c>
      <c r="CU420" s="213" t="s">
        <v>883</v>
      </c>
      <c r="CV420" s="214" t="s">
        <v>884</v>
      </c>
      <c r="CX420" s="212">
        <v>1</v>
      </c>
    </row>
    <row r="421" spans="91:102" ht="21" customHeight="1">
      <c r="CM421" s="210"/>
      <c r="CN421" s="213" t="s">
        <v>2175</v>
      </c>
      <c r="CO421" s="213" t="s">
        <v>886</v>
      </c>
      <c r="CP421" s="213" t="s">
        <v>1543</v>
      </c>
      <c r="CQ421" s="213" t="s">
        <v>1583</v>
      </c>
      <c r="CR421" s="213" t="s">
        <v>1584</v>
      </c>
      <c r="CS421" s="213" t="s">
        <v>971</v>
      </c>
      <c r="CT421" s="213" t="s">
        <v>1552</v>
      </c>
      <c r="CU421" s="213" t="s">
        <v>883</v>
      </c>
      <c r="CV421" s="214" t="s">
        <v>973</v>
      </c>
      <c r="CX421" s="212">
        <v>1</v>
      </c>
    </row>
    <row r="422" spans="91:102" ht="21" customHeight="1">
      <c r="CM422" s="210"/>
      <c r="CN422" s="213" t="s">
        <v>2176</v>
      </c>
      <c r="CO422" s="213" t="s">
        <v>886</v>
      </c>
      <c r="CP422" s="213" t="s">
        <v>1543</v>
      </c>
      <c r="CQ422" s="213" t="s">
        <v>2177</v>
      </c>
      <c r="CR422" s="213" t="s">
        <v>2177</v>
      </c>
      <c r="CS422" s="213" t="s">
        <v>881</v>
      </c>
      <c r="CT422" s="213" t="s">
        <v>2134</v>
      </c>
      <c r="CU422" s="213" t="s">
        <v>883</v>
      </c>
      <c r="CV422" s="214" t="s">
        <v>884</v>
      </c>
      <c r="CX422" s="212">
        <v>1</v>
      </c>
    </row>
    <row r="423" spans="91:102" ht="21" customHeight="1">
      <c r="CM423" s="210"/>
      <c r="CN423" s="213" t="s">
        <v>2178</v>
      </c>
      <c r="CO423" s="213" t="s">
        <v>886</v>
      </c>
      <c r="CP423" s="213" t="s">
        <v>1543</v>
      </c>
      <c r="CQ423" s="213" t="s">
        <v>1398</v>
      </c>
      <c r="CR423" s="213" t="s">
        <v>1398</v>
      </c>
      <c r="CS423" s="213" t="s">
        <v>881</v>
      </c>
      <c r="CT423" s="213" t="s">
        <v>2134</v>
      </c>
      <c r="CU423" s="213" t="s">
        <v>883</v>
      </c>
      <c r="CV423" s="214" t="s">
        <v>884</v>
      </c>
      <c r="CX423" s="212">
        <v>1</v>
      </c>
    </row>
    <row r="424" spans="91:102" ht="21" customHeight="1">
      <c r="CM424" s="210"/>
      <c r="CN424" s="213" t="s">
        <v>2179</v>
      </c>
      <c r="CO424" s="213" t="s">
        <v>886</v>
      </c>
      <c r="CP424" s="213" t="s">
        <v>1543</v>
      </c>
      <c r="CQ424" s="213" t="s">
        <v>2180</v>
      </c>
      <c r="CR424" s="213" t="s">
        <v>2180</v>
      </c>
      <c r="CS424" s="213" t="s">
        <v>881</v>
      </c>
      <c r="CT424" s="213" t="s">
        <v>2134</v>
      </c>
      <c r="CU424" s="213" t="s">
        <v>883</v>
      </c>
      <c r="CV424" s="214" t="s">
        <v>884</v>
      </c>
      <c r="CX424" s="212">
        <v>1</v>
      </c>
    </row>
    <row r="425" spans="91:102" ht="21" customHeight="1">
      <c r="CM425" s="210"/>
      <c r="CN425" s="213" t="s">
        <v>2181</v>
      </c>
      <c r="CO425" s="213" t="s">
        <v>886</v>
      </c>
      <c r="CP425" s="213" t="s">
        <v>1543</v>
      </c>
      <c r="CQ425" s="213" t="s">
        <v>1423</v>
      </c>
      <c r="CR425" s="213" t="s">
        <v>1423</v>
      </c>
      <c r="CS425" s="213" t="s">
        <v>881</v>
      </c>
      <c r="CT425" s="213" t="s">
        <v>2134</v>
      </c>
      <c r="CU425" s="213" t="s">
        <v>883</v>
      </c>
      <c r="CV425" s="214" t="s">
        <v>884</v>
      </c>
      <c r="CX425" s="212">
        <v>1</v>
      </c>
    </row>
    <row r="426" spans="91:102" ht="21" customHeight="1">
      <c r="CM426" s="210"/>
      <c r="CN426" s="213" t="s">
        <v>2182</v>
      </c>
      <c r="CO426" s="213" t="s">
        <v>886</v>
      </c>
      <c r="CP426" s="213" t="s">
        <v>1543</v>
      </c>
      <c r="CQ426" s="213" t="s">
        <v>2183</v>
      </c>
      <c r="CR426" s="213" t="s">
        <v>2183</v>
      </c>
      <c r="CS426" s="213" t="s">
        <v>881</v>
      </c>
      <c r="CT426" s="213" t="s">
        <v>2134</v>
      </c>
      <c r="CU426" s="213" t="s">
        <v>883</v>
      </c>
      <c r="CV426" s="214" t="s">
        <v>884</v>
      </c>
      <c r="CX426" s="212">
        <v>1</v>
      </c>
    </row>
    <row r="427" spans="91:102" ht="21" customHeight="1">
      <c r="CM427" s="210"/>
      <c r="CN427" s="213" t="s">
        <v>2184</v>
      </c>
      <c r="CO427" s="213" t="s">
        <v>886</v>
      </c>
      <c r="CP427" s="213" t="s">
        <v>2185</v>
      </c>
      <c r="CQ427" s="213" t="s">
        <v>2186</v>
      </c>
      <c r="CR427" s="213" t="s">
        <v>2186</v>
      </c>
      <c r="CS427" s="213" t="s">
        <v>971</v>
      </c>
      <c r="CT427" s="213" t="s">
        <v>2187</v>
      </c>
      <c r="CU427" s="213" t="s">
        <v>883</v>
      </c>
      <c r="CV427" s="214" t="s">
        <v>973</v>
      </c>
      <c r="CX427" s="212">
        <v>1</v>
      </c>
    </row>
    <row r="428" spans="91:102" ht="21" customHeight="1">
      <c r="CM428" s="210"/>
      <c r="CN428" s="213" t="s">
        <v>2188</v>
      </c>
      <c r="CO428" s="213" t="s">
        <v>886</v>
      </c>
      <c r="CP428" s="213" t="s">
        <v>2185</v>
      </c>
      <c r="CQ428" s="213" t="s">
        <v>2189</v>
      </c>
      <c r="CR428" s="213" t="s">
        <v>2190</v>
      </c>
      <c r="CS428" s="213" t="s">
        <v>971</v>
      </c>
      <c r="CT428" s="213" t="s">
        <v>2187</v>
      </c>
      <c r="CU428" s="213" t="s">
        <v>883</v>
      </c>
      <c r="CV428" s="214" t="s">
        <v>973</v>
      </c>
      <c r="CX428" s="212">
        <v>1</v>
      </c>
    </row>
    <row r="429" spans="91:102" ht="21" customHeight="1">
      <c r="CM429" s="210"/>
      <c r="CN429" s="213" t="s">
        <v>2191</v>
      </c>
      <c r="CO429" s="213" t="s">
        <v>886</v>
      </c>
      <c r="CP429" s="213" t="s">
        <v>2185</v>
      </c>
      <c r="CQ429" s="213" t="s">
        <v>2192</v>
      </c>
      <c r="CR429" s="213" t="s">
        <v>2193</v>
      </c>
      <c r="CS429" s="213" t="s">
        <v>971</v>
      </c>
      <c r="CT429" s="213" t="s">
        <v>2187</v>
      </c>
      <c r="CU429" s="213" t="s">
        <v>883</v>
      </c>
      <c r="CV429" s="214" t="s">
        <v>973</v>
      </c>
      <c r="CX429" s="212">
        <v>1</v>
      </c>
    </row>
    <row r="430" spans="91:102" ht="21" customHeight="1">
      <c r="CM430" s="210"/>
      <c r="CN430" s="213" t="s">
        <v>2194</v>
      </c>
      <c r="CO430" s="213" t="s">
        <v>886</v>
      </c>
      <c r="CP430" s="213" t="s">
        <v>2185</v>
      </c>
      <c r="CQ430" s="213" t="s">
        <v>2195</v>
      </c>
      <c r="CR430" s="213" t="s">
        <v>2196</v>
      </c>
      <c r="CS430" s="213" t="s">
        <v>971</v>
      </c>
      <c r="CT430" s="213" t="s">
        <v>2187</v>
      </c>
      <c r="CU430" s="213" t="s">
        <v>883</v>
      </c>
      <c r="CV430" s="214" t="s">
        <v>973</v>
      </c>
      <c r="CX430" s="212">
        <v>1</v>
      </c>
    </row>
    <row r="431" spans="91:102" ht="21" customHeight="1">
      <c r="CM431" s="210"/>
      <c r="CN431" s="213" t="s">
        <v>2197</v>
      </c>
      <c r="CO431" s="213" t="s">
        <v>886</v>
      </c>
      <c r="CP431" s="213" t="s">
        <v>2185</v>
      </c>
      <c r="CQ431" s="213" t="s">
        <v>1488</v>
      </c>
      <c r="CR431" s="213" t="s">
        <v>1489</v>
      </c>
      <c r="CS431" s="213" t="s">
        <v>971</v>
      </c>
      <c r="CT431" s="213" t="s">
        <v>2187</v>
      </c>
      <c r="CU431" s="213" t="s">
        <v>883</v>
      </c>
      <c r="CV431" s="214" t="s">
        <v>973</v>
      </c>
      <c r="CX431" s="212">
        <v>1</v>
      </c>
    </row>
    <row r="432" spans="91:102" ht="21" customHeight="1">
      <c r="CM432" s="210"/>
      <c r="CN432" s="213" t="s">
        <v>2198</v>
      </c>
      <c r="CO432" s="213" t="s">
        <v>886</v>
      </c>
      <c r="CP432" s="213" t="s">
        <v>2185</v>
      </c>
      <c r="CQ432" s="213" t="s">
        <v>1492</v>
      </c>
      <c r="CR432" s="213" t="s">
        <v>1493</v>
      </c>
      <c r="CS432" s="213" t="s">
        <v>971</v>
      </c>
      <c r="CT432" s="213" t="s">
        <v>2187</v>
      </c>
      <c r="CU432" s="213" t="s">
        <v>883</v>
      </c>
      <c r="CV432" s="214" t="s">
        <v>973</v>
      </c>
      <c r="CX432" s="212">
        <v>1</v>
      </c>
    </row>
    <row r="433" spans="91:102" ht="21" customHeight="1">
      <c r="CM433" s="210"/>
      <c r="CN433" s="213" t="s">
        <v>2199</v>
      </c>
      <c r="CO433" s="213" t="s">
        <v>886</v>
      </c>
      <c r="CP433" s="213" t="s">
        <v>2185</v>
      </c>
      <c r="CQ433" s="213" t="s">
        <v>1504</v>
      </c>
      <c r="CR433" s="213" t="s">
        <v>1505</v>
      </c>
      <c r="CS433" s="213" t="s">
        <v>971</v>
      </c>
      <c r="CT433" s="213" t="s">
        <v>2187</v>
      </c>
      <c r="CU433" s="213" t="s">
        <v>883</v>
      </c>
      <c r="CV433" s="214" t="s">
        <v>973</v>
      </c>
      <c r="CX433" s="212">
        <v>1</v>
      </c>
    </row>
    <row r="434" spans="91:102" ht="21" customHeight="1">
      <c r="CM434" s="210"/>
      <c r="CN434" s="213" t="s">
        <v>2200</v>
      </c>
      <c r="CO434" s="213" t="s">
        <v>886</v>
      </c>
      <c r="CP434" s="213" t="s">
        <v>2185</v>
      </c>
      <c r="CQ434" s="213" t="s">
        <v>2201</v>
      </c>
      <c r="CR434" s="213" t="s">
        <v>2201</v>
      </c>
      <c r="CS434" s="213" t="s">
        <v>971</v>
      </c>
      <c r="CT434" s="213" t="s">
        <v>2187</v>
      </c>
      <c r="CU434" s="213" t="s">
        <v>883</v>
      </c>
      <c r="CV434" s="214" t="s">
        <v>973</v>
      </c>
      <c r="CX434" s="212">
        <v>1</v>
      </c>
    </row>
    <row r="435" spans="91:102" ht="21" customHeight="1">
      <c r="CM435" s="210"/>
      <c r="CN435" s="213" t="s">
        <v>2202</v>
      </c>
      <c r="CO435" s="213" t="s">
        <v>886</v>
      </c>
      <c r="CP435" s="213" t="s">
        <v>2185</v>
      </c>
      <c r="CQ435" s="213" t="s">
        <v>2203</v>
      </c>
      <c r="CR435" s="213" t="s">
        <v>2203</v>
      </c>
      <c r="CS435" s="213" t="s">
        <v>971</v>
      </c>
      <c r="CT435" s="213" t="s">
        <v>2187</v>
      </c>
      <c r="CU435" s="213" t="s">
        <v>883</v>
      </c>
      <c r="CV435" s="214" t="s">
        <v>973</v>
      </c>
      <c r="CX435" s="212">
        <v>1</v>
      </c>
    </row>
    <row r="436" spans="91:102" ht="21" customHeight="1">
      <c r="CM436" s="210"/>
      <c r="CN436" s="213" t="s">
        <v>2204</v>
      </c>
      <c r="CO436" s="213" t="s">
        <v>896</v>
      </c>
      <c r="CP436" s="213" t="s">
        <v>879</v>
      </c>
      <c r="CQ436" s="213" t="s">
        <v>2205</v>
      </c>
      <c r="CR436" s="213" t="s">
        <v>2205</v>
      </c>
      <c r="CS436" s="213" t="s">
        <v>1620</v>
      </c>
      <c r="CT436" s="213" t="s">
        <v>1621</v>
      </c>
      <c r="CU436" s="213" t="s">
        <v>2206</v>
      </c>
      <c r="CV436" s="214" t="s">
        <v>2207</v>
      </c>
      <c r="CX436" s="212">
        <v>1</v>
      </c>
    </row>
    <row r="437" spans="91:102" ht="21" customHeight="1">
      <c r="CM437" s="210"/>
      <c r="CN437" s="213" t="s">
        <v>2208</v>
      </c>
      <c r="CO437" s="213" t="s">
        <v>896</v>
      </c>
      <c r="CP437" s="213" t="s">
        <v>879</v>
      </c>
      <c r="CQ437" s="213" t="s">
        <v>2209</v>
      </c>
      <c r="CR437" s="213" t="s">
        <v>2209</v>
      </c>
      <c r="CS437" s="213" t="s">
        <v>1620</v>
      </c>
      <c r="CT437" s="213" t="s">
        <v>1621</v>
      </c>
      <c r="CU437" s="213" t="s">
        <v>2206</v>
      </c>
      <c r="CV437" s="214" t="s">
        <v>2207</v>
      </c>
      <c r="CX437" s="212">
        <v>1</v>
      </c>
    </row>
    <row r="438" spans="91:102" ht="21" customHeight="1">
      <c r="CM438" s="210"/>
      <c r="CN438" s="213" t="s">
        <v>2210</v>
      </c>
      <c r="CO438" s="213" t="s">
        <v>896</v>
      </c>
      <c r="CP438" s="213" t="s">
        <v>879</v>
      </c>
      <c r="CQ438" s="213" t="s">
        <v>2211</v>
      </c>
      <c r="CR438" s="213" t="s">
        <v>2211</v>
      </c>
      <c r="CS438" s="213" t="s">
        <v>1620</v>
      </c>
      <c r="CT438" s="213" t="s">
        <v>1621</v>
      </c>
      <c r="CU438" s="213" t="s">
        <v>2206</v>
      </c>
      <c r="CV438" s="214" t="s">
        <v>2207</v>
      </c>
      <c r="CX438" s="212">
        <v>1</v>
      </c>
    </row>
    <row r="439" spans="91:102" ht="21" customHeight="1">
      <c r="CM439" s="210"/>
      <c r="CN439" s="213" t="s">
        <v>2212</v>
      </c>
      <c r="CO439" s="213" t="s">
        <v>896</v>
      </c>
      <c r="CP439" s="213" t="s">
        <v>879</v>
      </c>
      <c r="CQ439" s="213" t="s">
        <v>2213</v>
      </c>
      <c r="CR439" s="213" t="s">
        <v>2213</v>
      </c>
      <c r="CS439" s="213" t="s">
        <v>1620</v>
      </c>
      <c r="CT439" s="213" t="s">
        <v>1621</v>
      </c>
      <c r="CU439" s="213" t="s">
        <v>2206</v>
      </c>
      <c r="CV439" s="214" t="s">
        <v>2207</v>
      </c>
      <c r="CX439" s="212">
        <v>1</v>
      </c>
    </row>
    <row r="440" spans="91:102" ht="21" customHeight="1">
      <c r="CM440" s="210"/>
      <c r="CN440" s="213" t="s">
        <v>2214</v>
      </c>
      <c r="CO440" s="213" t="s">
        <v>896</v>
      </c>
      <c r="CP440" s="213" t="s">
        <v>879</v>
      </c>
      <c r="CQ440" s="213" t="s">
        <v>2215</v>
      </c>
      <c r="CR440" s="213" t="s">
        <v>2215</v>
      </c>
      <c r="CS440" s="213" t="s">
        <v>1620</v>
      </c>
      <c r="CT440" s="213" t="s">
        <v>1621</v>
      </c>
      <c r="CU440" s="213" t="s">
        <v>2206</v>
      </c>
      <c r="CV440" s="214" t="s">
        <v>2207</v>
      </c>
      <c r="CX440" s="212">
        <v>1</v>
      </c>
    </row>
    <row r="441" spans="91:102" ht="21" customHeight="1">
      <c r="CM441" s="210"/>
      <c r="CN441" s="213" t="s">
        <v>2216</v>
      </c>
      <c r="CO441" s="213" t="s">
        <v>896</v>
      </c>
      <c r="CP441" s="213" t="s">
        <v>879</v>
      </c>
      <c r="CQ441" s="213" t="s">
        <v>2217</v>
      </c>
      <c r="CR441" s="213" t="s">
        <v>2217</v>
      </c>
      <c r="CS441" s="213" t="s">
        <v>1620</v>
      </c>
      <c r="CT441" s="213" t="s">
        <v>1621</v>
      </c>
      <c r="CU441" s="213" t="s">
        <v>2206</v>
      </c>
      <c r="CV441" s="214" t="s">
        <v>2207</v>
      </c>
      <c r="CX441" s="212">
        <v>1</v>
      </c>
    </row>
    <row r="442" spans="91:102" ht="21" customHeight="1">
      <c r="CM442" s="210"/>
      <c r="CN442" s="213" t="s">
        <v>2218</v>
      </c>
      <c r="CO442" s="213" t="s">
        <v>896</v>
      </c>
      <c r="CP442" s="213" t="s">
        <v>879</v>
      </c>
      <c r="CQ442" s="213" t="s">
        <v>2219</v>
      </c>
      <c r="CR442" s="213" t="s">
        <v>2219</v>
      </c>
      <c r="CS442" s="213" t="s">
        <v>1620</v>
      </c>
      <c r="CT442" s="213" t="s">
        <v>1621</v>
      </c>
      <c r="CU442" s="213" t="s">
        <v>2206</v>
      </c>
      <c r="CV442" s="214" t="s">
        <v>2207</v>
      </c>
      <c r="CX442" s="212">
        <v>1</v>
      </c>
    </row>
    <row r="443" spans="91:102" ht="21" customHeight="1">
      <c r="CM443" s="210"/>
      <c r="CN443" s="213" t="s">
        <v>2220</v>
      </c>
      <c r="CO443" s="213" t="s">
        <v>896</v>
      </c>
      <c r="CP443" s="213" t="s">
        <v>879</v>
      </c>
      <c r="CQ443" s="213" t="s">
        <v>2221</v>
      </c>
      <c r="CR443" s="213" t="s">
        <v>2221</v>
      </c>
      <c r="CS443" s="213" t="s">
        <v>1620</v>
      </c>
      <c r="CT443" s="213" t="s">
        <v>1621</v>
      </c>
      <c r="CU443" s="213" t="s">
        <v>2206</v>
      </c>
      <c r="CV443" s="214" t="s">
        <v>2207</v>
      </c>
      <c r="CX443" s="212">
        <v>1</v>
      </c>
    </row>
    <row r="444" spans="91:102" ht="21" customHeight="1">
      <c r="CM444" s="210"/>
      <c r="CN444" s="213" t="s">
        <v>2222</v>
      </c>
      <c r="CO444" s="213" t="s">
        <v>896</v>
      </c>
      <c r="CP444" s="213" t="s">
        <v>879</v>
      </c>
      <c r="CQ444" s="213" t="s">
        <v>2223</v>
      </c>
      <c r="CR444" s="213" t="s">
        <v>2223</v>
      </c>
      <c r="CS444" s="213" t="s">
        <v>1620</v>
      </c>
      <c r="CT444" s="213" t="s">
        <v>1621</v>
      </c>
      <c r="CU444" s="213" t="s">
        <v>2206</v>
      </c>
      <c r="CV444" s="214" t="s">
        <v>2207</v>
      </c>
      <c r="CX444" s="212">
        <v>1</v>
      </c>
    </row>
    <row r="445" spans="91:102" ht="21" customHeight="1">
      <c r="CM445" s="210"/>
      <c r="CN445" s="213" t="s">
        <v>2224</v>
      </c>
      <c r="CO445" s="213" t="s">
        <v>896</v>
      </c>
      <c r="CP445" s="213" t="s">
        <v>879</v>
      </c>
      <c r="CQ445" s="213" t="s">
        <v>2225</v>
      </c>
      <c r="CR445" s="213" t="s">
        <v>2225</v>
      </c>
      <c r="CS445" s="213" t="s">
        <v>1620</v>
      </c>
      <c r="CT445" s="213" t="s">
        <v>1621</v>
      </c>
      <c r="CU445" s="213" t="s">
        <v>2206</v>
      </c>
      <c r="CV445" s="214" t="s">
        <v>2207</v>
      </c>
      <c r="CX445" s="212">
        <v>1</v>
      </c>
    </row>
    <row r="446" spans="91:102" ht="21" customHeight="1">
      <c r="CM446" s="210"/>
      <c r="CN446" s="213" t="s">
        <v>2226</v>
      </c>
      <c r="CO446" s="213" t="s">
        <v>896</v>
      </c>
      <c r="CP446" s="213" t="s">
        <v>879</v>
      </c>
      <c r="CQ446" s="213" t="s">
        <v>2227</v>
      </c>
      <c r="CR446" s="213" t="s">
        <v>2227</v>
      </c>
      <c r="CS446" s="213" t="s">
        <v>1620</v>
      </c>
      <c r="CT446" s="213" t="s">
        <v>1621</v>
      </c>
      <c r="CU446" s="213" t="s">
        <v>2206</v>
      </c>
      <c r="CV446" s="214" t="s">
        <v>2207</v>
      </c>
      <c r="CX446" s="212">
        <v>1</v>
      </c>
    </row>
    <row r="447" spans="91:102" ht="21" customHeight="1">
      <c r="CM447" s="210"/>
      <c r="CN447" s="213" t="s">
        <v>2228</v>
      </c>
      <c r="CO447" s="213" t="s">
        <v>896</v>
      </c>
      <c r="CP447" s="213" t="s">
        <v>879</v>
      </c>
      <c r="CQ447" s="213" t="s">
        <v>2229</v>
      </c>
      <c r="CR447" s="213" t="s">
        <v>2229</v>
      </c>
      <c r="CS447" s="213" t="s">
        <v>1620</v>
      </c>
      <c r="CT447" s="213" t="s">
        <v>1621</v>
      </c>
      <c r="CU447" s="213" t="s">
        <v>2206</v>
      </c>
      <c r="CV447" s="214" t="s">
        <v>2207</v>
      </c>
      <c r="CX447" s="212">
        <v>1</v>
      </c>
    </row>
    <row r="448" spans="91:102" ht="21" customHeight="1">
      <c r="CM448" s="210"/>
      <c r="CN448" s="213" t="s">
        <v>2230</v>
      </c>
      <c r="CO448" s="213" t="s">
        <v>896</v>
      </c>
      <c r="CP448" s="213" t="s">
        <v>879</v>
      </c>
      <c r="CQ448" s="213" t="s">
        <v>2231</v>
      </c>
      <c r="CR448" s="213" t="s">
        <v>2231</v>
      </c>
      <c r="CS448" s="213" t="s">
        <v>1620</v>
      </c>
      <c r="CT448" s="213" t="s">
        <v>1621</v>
      </c>
      <c r="CU448" s="213" t="s">
        <v>2206</v>
      </c>
      <c r="CV448" s="214" t="s">
        <v>2207</v>
      </c>
      <c r="CX448" s="212">
        <v>1</v>
      </c>
    </row>
    <row r="449" spans="91:102" ht="21" customHeight="1">
      <c r="CM449" s="210"/>
      <c r="CN449" s="213" t="s">
        <v>2232</v>
      </c>
      <c r="CO449" s="213" t="s">
        <v>896</v>
      </c>
      <c r="CP449" s="213" t="s">
        <v>879</v>
      </c>
      <c r="CQ449" s="213" t="s">
        <v>2233</v>
      </c>
      <c r="CR449" s="213" t="s">
        <v>2233</v>
      </c>
      <c r="CS449" s="213" t="s">
        <v>1620</v>
      </c>
      <c r="CT449" s="213" t="s">
        <v>1621</v>
      </c>
      <c r="CU449" s="213" t="s">
        <v>2206</v>
      </c>
      <c r="CV449" s="214" t="s">
        <v>2207</v>
      </c>
      <c r="CX449" s="212">
        <v>1</v>
      </c>
    </row>
    <row r="450" spans="91:102" ht="21" customHeight="1">
      <c r="CM450" s="210"/>
      <c r="CN450" s="213" t="s">
        <v>2234</v>
      </c>
      <c r="CO450" s="213" t="s">
        <v>896</v>
      </c>
      <c r="CP450" s="213" t="s">
        <v>879</v>
      </c>
      <c r="CQ450" s="213" t="s">
        <v>2235</v>
      </c>
      <c r="CR450" s="213" t="s">
        <v>2235</v>
      </c>
      <c r="CS450" s="213" t="s">
        <v>1620</v>
      </c>
      <c r="CT450" s="213" t="s">
        <v>1621</v>
      </c>
      <c r="CU450" s="213" t="s">
        <v>2206</v>
      </c>
      <c r="CV450" s="214" t="s">
        <v>2207</v>
      </c>
      <c r="CX450" s="212">
        <v>1</v>
      </c>
    </row>
    <row r="451" spans="91:102" ht="21" customHeight="1">
      <c r="CM451" s="210"/>
      <c r="CN451" s="213" t="s">
        <v>2236</v>
      </c>
      <c r="CO451" s="213" t="s">
        <v>896</v>
      </c>
      <c r="CP451" s="213" t="s">
        <v>879</v>
      </c>
      <c r="CQ451" s="213" t="s">
        <v>2237</v>
      </c>
      <c r="CR451" s="213" t="s">
        <v>2237</v>
      </c>
      <c r="CS451" s="213" t="s">
        <v>1620</v>
      </c>
      <c r="CT451" s="213" t="s">
        <v>1621</v>
      </c>
      <c r="CU451" s="213" t="s">
        <v>2206</v>
      </c>
      <c r="CV451" s="214" t="s">
        <v>2207</v>
      </c>
      <c r="CX451" s="212">
        <v>1</v>
      </c>
    </row>
    <row r="452" spans="91:102" ht="21" customHeight="1">
      <c r="CM452" s="210"/>
      <c r="CN452" s="213" t="s">
        <v>2238</v>
      </c>
      <c r="CO452" s="213" t="s">
        <v>896</v>
      </c>
      <c r="CP452" s="213" t="s">
        <v>879</v>
      </c>
      <c r="CQ452" s="213" t="s">
        <v>2239</v>
      </c>
      <c r="CR452" s="213" t="s">
        <v>2239</v>
      </c>
      <c r="CS452" s="213" t="s">
        <v>1620</v>
      </c>
      <c r="CT452" s="213" t="s">
        <v>1621</v>
      </c>
      <c r="CU452" s="213" t="s">
        <v>2206</v>
      </c>
      <c r="CV452" s="214" t="s">
        <v>2207</v>
      </c>
      <c r="CX452" s="212">
        <v>1</v>
      </c>
    </row>
    <row r="453" spans="91:102" ht="21" customHeight="1">
      <c r="CM453" s="210"/>
      <c r="CN453" s="213" t="s">
        <v>2240</v>
      </c>
      <c r="CO453" s="213" t="s">
        <v>896</v>
      </c>
      <c r="CP453" s="213" t="s">
        <v>879</v>
      </c>
      <c r="CQ453" s="213" t="s">
        <v>2241</v>
      </c>
      <c r="CR453" s="213" t="s">
        <v>2241</v>
      </c>
      <c r="CS453" s="213" t="s">
        <v>1620</v>
      </c>
      <c r="CT453" s="213" t="s">
        <v>1621</v>
      </c>
      <c r="CU453" s="213" t="s">
        <v>2206</v>
      </c>
      <c r="CV453" s="214" t="s">
        <v>2207</v>
      </c>
      <c r="CX453" s="212">
        <v>1</v>
      </c>
    </row>
    <row r="454" spans="91:102" ht="21" customHeight="1">
      <c r="CM454" s="210"/>
      <c r="CN454" s="213" t="s">
        <v>2242</v>
      </c>
      <c r="CO454" s="213" t="s">
        <v>896</v>
      </c>
      <c r="CP454" s="213" t="s">
        <v>879</v>
      </c>
      <c r="CQ454" s="213" t="s">
        <v>2243</v>
      </c>
      <c r="CR454" s="213" t="s">
        <v>2243</v>
      </c>
      <c r="CS454" s="213" t="s">
        <v>1620</v>
      </c>
      <c r="CT454" s="213" t="s">
        <v>1621</v>
      </c>
      <c r="CU454" s="213" t="s">
        <v>2206</v>
      </c>
      <c r="CV454" s="214" t="s">
        <v>2207</v>
      </c>
      <c r="CX454" s="212">
        <v>1</v>
      </c>
    </row>
    <row r="455" spans="91:102" ht="21" customHeight="1">
      <c r="CM455" s="210"/>
      <c r="CN455" s="213" t="s">
        <v>2244</v>
      </c>
      <c r="CO455" s="213" t="s">
        <v>896</v>
      </c>
      <c r="CP455" s="213" t="s">
        <v>879</v>
      </c>
      <c r="CQ455" s="213" t="s">
        <v>2245</v>
      </c>
      <c r="CR455" s="213" t="s">
        <v>2245</v>
      </c>
      <c r="CS455" s="213" t="s">
        <v>1620</v>
      </c>
      <c r="CT455" s="213" t="s">
        <v>1621</v>
      </c>
      <c r="CU455" s="213" t="s">
        <v>2206</v>
      </c>
      <c r="CV455" s="214" t="s">
        <v>2207</v>
      </c>
      <c r="CX455" s="212">
        <v>1</v>
      </c>
    </row>
    <row r="456" spans="91:102" ht="21" customHeight="1">
      <c r="CM456" s="210"/>
      <c r="CN456" s="213" t="s">
        <v>2246</v>
      </c>
      <c r="CO456" s="213" t="s">
        <v>896</v>
      </c>
      <c r="CP456" s="213" t="s">
        <v>879</v>
      </c>
      <c r="CQ456" s="213" t="s">
        <v>2247</v>
      </c>
      <c r="CR456" s="213" t="s">
        <v>2247</v>
      </c>
      <c r="CS456" s="213" t="s">
        <v>1620</v>
      </c>
      <c r="CT456" s="213" t="s">
        <v>1621</v>
      </c>
      <c r="CU456" s="213" t="s">
        <v>2206</v>
      </c>
      <c r="CV456" s="214" t="s">
        <v>2207</v>
      </c>
      <c r="CX456" s="212">
        <v>1</v>
      </c>
    </row>
    <row r="457" spans="91:102" ht="21" customHeight="1">
      <c r="CM457" s="210"/>
      <c r="CN457" s="213" t="s">
        <v>2248</v>
      </c>
      <c r="CO457" s="213" t="s">
        <v>896</v>
      </c>
      <c r="CP457" s="213" t="s">
        <v>879</v>
      </c>
      <c r="CQ457" s="213" t="s">
        <v>2249</v>
      </c>
      <c r="CR457" s="213" t="s">
        <v>2249</v>
      </c>
      <c r="CS457" s="213" t="s">
        <v>1620</v>
      </c>
      <c r="CT457" s="213" t="s">
        <v>1621</v>
      </c>
      <c r="CU457" s="213" t="s">
        <v>2206</v>
      </c>
      <c r="CV457" s="214" t="s">
        <v>2207</v>
      </c>
      <c r="CX457" s="212">
        <v>1</v>
      </c>
    </row>
    <row r="458" spans="91:102" ht="21" customHeight="1">
      <c r="CM458" s="210"/>
      <c r="CN458" s="213" t="s">
        <v>2250</v>
      </c>
      <c r="CO458" s="213" t="s">
        <v>896</v>
      </c>
      <c r="CP458" s="213" t="s">
        <v>879</v>
      </c>
      <c r="CQ458" s="213" t="s">
        <v>2251</v>
      </c>
      <c r="CR458" s="213" t="s">
        <v>2251</v>
      </c>
      <c r="CS458" s="213" t="s">
        <v>1620</v>
      </c>
      <c r="CT458" s="213" t="s">
        <v>1621</v>
      </c>
      <c r="CU458" s="213" t="s">
        <v>2206</v>
      </c>
      <c r="CV458" s="214" t="s">
        <v>2207</v>
      </c>
      <c r="CX458" s="212">
        <v>1</v>
      </c>
    </row>
    <row r="459" spans="91:102" ht="21" customHeight="1">
      <c r="CM459" s="210"/>
      <c r="CN459" s="213" t="s">
        <v>2252</v>
      </c>
      <c r="CO459" s="213" t="s">
        <v>896</v>
      </c>
      <c r="CP459" s="213" t="s">
        <v>879</v>
      </c>
      <c r="CQ459" s="213" t="s">
        <v>2253</v>
      </c>
      <c r="CR459" s="213" t="s">
        <v>2253</v>
      </c>
      <c r="CS459" s="213" t="s">
        <v>1620</v>
      </c>
      <c r="CT459" s="213" t="s">
        <v>1621</v>
      </c>
      <c r="CU459" s="213" t="s">
        <v>2206</v>
      </c>
      <c r="CV459" s="214" t="s">
        <v>2207</v>
      </c>
      <c r="CX459" s="212">
        <v>1</v>
      </c>
    </row>
    <row r="460" spans="91:102" ht="21" customHeight="1">
      <c r="CM460" s="210"/>
      <c r="CN460" s="213" t="s">
        <v>2254</v>
      </c>
      <c r="CO460" s="213" t="s">
        <v>896</v>
      </c>
      <c r="CP460" s="213" t="s">
        <v>879</v>
      </c>
      <c r="CQ460" s="213" t="s">
        <v>2255</v>
      </c>
      <c r="CR460" s="213" t="s">
        <v>2255</v>
      </c>
      <c r="CS460" s="213" t="s">
        <v>1620</v>
      </c>
      <c r="CT460" s="213" t="s">
        <v>1621</v>
      </c>
      <c r="CU460" s="213" t="s">
        <v>2206</v>
      </c>
      <c r="CV460" s="214" t="s">
        <v>2207</v>
      </c>
      <c r="CX460" s="212">
        <v>1</v>
      </c>
    </row>
    <row r="461" spans="91:102" ht="21" customHeight="1">
      <c r="CM461" s="210"/>
      <c r="CN461" s="213" t="s">
        <v>2256</v>
      </c>
      <c r="CO461" s="213" t="s">
        <v>896</v>
      </c>
      <c r="CP461" s="213" t="s">
        <v>879</v>
      </c>
      <c r="CQ461" s="213" t="s">
        <v>2257</v>
      </c>
      <c r="CR461" s="213" t="s">
        <v>2257</v>
      </c>
      <c r="CS461" s="213" t="s">
        <v>1620</v>
      </c>
      <c r="CT461" s="213" t="s">
        <v>1621</v>
      </c>
      <c r="CU461" s="213" t="s">
        <v>2206</v>
      </c>
      <c r="CV461" s="214" t="s">
        <v>2207</v>
      </c>
      <c r="CX461" s="212">
        <v>1</v>
      </c>
    </row>
    <row r="462" spans="91:102" ht="21" customHeight="1">
      <c r="CM462" s="210"/>
      <c r="CN462" s="213" t="s">
        <v>2258</v>
      </c>
      <c r="CO462" s="213" t="s">
        <v>896</v>
      </c>
      <c r="CP462" s="213" t="s">
        <v>879</v>
      </c>
      <c r="CQ462" s="213" t="s">
        <v>2259</v>
      </c>
      <c r="CR462" s="213" t="s">
        <v>2259</v>
      </c>
      <c r="CS462" s="213" t="s">
        <v>1620</v>
      </c>
      <c r="CT462" s="213" t="s">
        <v>1621</v>
      </c>
      <c r="CU462" s="213" t="s">
        <v>2206</v>
      </c>
      <c r="CV462" s="214" t="s">
        <v>2207</v>
      </c>
      <c r="CX462" s="212">
        <v>1</v>
      </c>
    </row>
    <row r="463" spans="91:102" ht="21" customHeight="1">
      <c r="CM463" s="210"/>
      <c r="CN463" s="213" t="s">
        <v>2260</v>
      </c>
      <c r="CO463" s="213" t="s">
        <v>896</v>
      </c>
      <c r="CP463" s="213" t="s">
        <v>879</v>
      </c>
      <c r="CQ463" s="213" t="s">
        <v>2261</v>
      </c>
      <c r="CR463" s="213" t="s">
        <v>2261</v>
      </c>
      <c r="CS463" s="213" t="s">
        <v>1620</v>
      </c>
      <c r="CT463" s="213" t="s">
        <v>1621</v>
      </c>
      <c r="CU463" s="213" t="s">
        <v>2206</v>
      </c>
      <c r="CV463" s="214" t="s">
        <v>2207</v>
      </c>
      <c r="CX463" s="212">
        <v>1</v>
      </c>
    </row>
    <row r="464" spans="91:102" ht="21" customHeight="1">
      <c r="CM464" s="210"/>
      <c r="CN464" s="213" t="s">
        <v>2262</v>
      </c>
      <c r="CO464" s="213" t="s">
        <v>896</v>
      </c>
      <c r="CP464" s="213" t="s">
        <v>879</v>
      </c>
      <c r="CQ464" s="213" t="s">
        <v>2263</v>
      </c>
      <c r="CR464" s="213" t="s">
        <v>2263</v>
      </c>
      <c r="CS464" s="213" t="s">
        <v>1620</v>
      </c>
      <c r="CT464" s="213" t="s">
        <v>1621</v>
      </c>
      <c r="CU464" s="213" t="s">
        <v>2206</v>
      </c>
      <c r="CV464" s="214" t="s">
        <v>2207</v>
      </c>
      <c r="CX464" s="212">
        <v>1</v>
      </c>
    </row>
    <row r="465" spans="91:102" ht="21" customHeight="1">
      <c r="CM465" s="210"/>
      <c r="CN465" s="213" t="s">
        <v>2264</v>
      </c>
      <c r="CO465" s="213" t="s">
        <v>896</v>
      </c>
      <c r="CP465" s="213" t="s">
        <v>879</v>
      </c>
      <c r="CQ465" s="213" t="s">
        <v>2265</v>
      </c>
      <c r="CR465" s="213" t="s">
        <v>2265</v>
      </c>
      <c r="CS465" s="213" t="s">
        <v>1620</v>
      </c>
      <c r="CT465" s="213" t="s">
        <v>1621</v>
      </c>
      <c r="CU465" s="213" t="s">
        <v>2206</v>
      </c>
      <c r="CV465" s="214" t="s">
        <v>2207</v>
      </c>
      <c r="CX465" s="212">
        <v>1</v>
      </c>
    </row>
    <row r="466" spans="91:102" ht="21" customHeight="1">
      <c r="CM466" s="210"/>
      <c r="CN466" s="213" t="s">
        <v>2266</v>
      </c>
      <c r="CO466" s="213" t="s">
        <v>896</v>
      </c>
      <c r="CP466" s="213" t="s">
        <v>879</v>
      </c>
      <c r="CQ466" s="213" t="s">
        <v>2267</v>
      </c>
      <c r="CR466" s="213" t="s">
        <v>2267</v>
      </c>
      <c r="CS466" s="213" t="s">
        <v>1620</v>
      </c>
      <c r="CT466" s="213" t="s">
        <v>1621</v>
      </c>
      <c r="CU466" s="213" t="s">
        <v>2206</v>
      </c>
      <c r="CV466" s="214" t="s">
        <v>2207</v>
      </c>
      <c r="CX466" s="212">
        <v>1</v>
      </c>
    </row>
    <row r="467" spans="91:102" ht="21" customHeight="1">
      <c r="CM467" s="210"/>
      <c r="CN467" s="213" t="s">
        <v>2268</v>
      </c>
      <c r="CO467" s="213" t="s">
        <v>896</v>
      </c>
      <c r="CP467" s="213" t="s">
        <v>879</v>
      </c>
      <c r="CQ467" s="213" t="s">
        <v>2269</v>
      </c>
      <c r="CR467" s="213" t="s">
        <v>2269</v>
      </c>
      <c r="CS467" s="213" t="s">
        <v>1620</v>
      </c>
      <c r="CT467" s="213" t="s">
        <v>1621</v>
      </c>
      <c r="CU467" s="213" t="s">
        <v>2206</v>
      </c>
      <c r="CV467" s="214" t="s">
        <v>2207</v>
      </c>
      <c r="CX467" s="212">
        <v>1</v>
      </c>
    </row>
    <row r="468" spans="91:102" ht="21" customHeight="1">
      <c r="CM468" s="210"/>
      <c r="CN468" s="213" t="s">
        <v>2270</v>
      </c>
      <c r="CO468" s="213" t="s">
        <v>896</v>
      </c>
      <c r="CP468" s="213" t="s">
        <v>879</v>
      </c>
      <c r="CQ468" s="213" t="s">
        <v>2271</v>
      </c>
      <c r="CR468" s="213" t="s">
        <v>2271</v>
      </c>
      <c r="CS468" s="213" t="s">
        <v>1620</v>
      </c>
      <c r="CT468" s="213" t="s">
        <v>1621</v>
      </c>
      <c r="CU468" s="213" t="s">
        <v>2206</v>
      </c>
      <c r="CV468" s="214" t="s">
        <v>2207</v>
      </c>
      <c r="CX468" s="212">
        <v>1</v>
      </c>
    </row>
    <row r="469" spans="91:102" ht="21" customHeight="1">
      <c r="CM469" s="210"/>
      <c r="CN469" s="213" t="s">
        <v>2272</v>
      </c>
      <c r="CO469" s="213" t="s">
        <v>896</v>
      </c>
      <c r="CP469" s="213" t="s">
        <v>879</v>
      </c>
      <c r="CQ469" s="213" t="s">
        <v>2273</v>
      </c>
      <c r="CR469" s="213" t="s">
        <v>2273</v>
      </c>
      <c r="CS469" s="213" t="s">
        <v>1620</v>
      </c>
      <c r="CT469" s="213" t="s">
        <v>1621</v>
      </c>
      <c r="CU469" s="213" t="s">
        <v>2206</v>
      </c>
      <c r="CV469" s="214" t="s">
        <v>2207</v>
      </c>
      <c r="CX469" s="212">
        <v>1</v>
      </c>
    </row>
    <row r="470" spans="91:102" ht="21" customHeight="1">
      <c r="CM470" s="210"/>
      <c r="CN470" s="213" t="s">
        <v>2274</v>
      </c>
      <c r="CO470" s="213" t="s">
        <v>896</v>
      </c>
      <c r="CP470" s="213" t="s">
        <v>879</v>
      </c>
      <c r="CQ470" s="213" t="s">
        <v>2275</v>
      </c>
      <c r="CR470" s="213" t="s">
        <v>2275</v>
      </c>
      <c r="CS470" s="213" t="s">
        <v>1620</v>
      </c>
      <c r="CT470" s="213" t="s">
        <v>1621</v>
      </c>
      <c r="CU470" s="213" t="s">
        <v>2206</v>
      </c>
      <c r="CV470" s="214" t="s">
        <v>2207</v>
      </c>
      <c r="CX470" s="212">
        <v>1</v>
      </c>
    </row>
    <row r="471" spans="91:102" ht="21" customHeight="1">
      <c r="CM471" s="210"/>
      <c r="CN471" s="213" t="s">
        <v>2276</v>
      </c>
      <c r="CO471" s="213" t="s">
        <v>896</v>
      </c>
      <c r="CP471" s="213" t="s">
        <v>879</v>
      </c>
      <c r="CQ471" s="213" t="s">
        <v>2277</v>
      </c>
      <c r="CR471" s="213" t="s">
        <v>2277</v>
      </c>
      <c r="CS471" s="213" t="s">
        <v>1620</v>
      </c>
      <c r="CT471" s="213" t="s">
        <v>1621</v>
      </c>
      <c r="CU471" s="213" t="s">
        <v>2206</v>
      </c>
      <c r="CV471" s="214" t="s">
        <v>2207</v>
      </c>
      <c r="CX471" s="212">
        <v>1</v>
      </c>
    </row>
    <row r="472" spans="91:102" ht="21" customHeight="1">
      <c r="CM472" s="210"/>
      <c r="CN472" s="213" t="s">
        <v>2278</v>
      </c>
      <c r="CO472" s="213" t="s">
        <v>896</v>
      </c>
      <c r="CP472" s="213" t="s">
        <v>879</v>
      </c>
      <c r="CQ472" s="213" t="s">
        <v>2279</v>
      </c>
      <c r="CR472" s="213" t="s">
        <v>2279</v>
      </c>
      <c r="CS472" s="213" t="s">
        <v>1620</v>
      </c>
      <c r="CT472" s="213" t="s">
        <v>1621</v>
      </c>
      <c r="CU472" s="213" t="s">
        <v>2206</v>
      </c>
      <c r="CV472" s="214" t="s">
        <v>2207</v>
      </c>
      <c r="CX472" s="212">
        <v>1</v>
      </c>
    </row>
    <row r="473" spans="91:102" ht="21" customHeight="1">
      <c r="CM473" s="210"/>
      <c r="CN473" s="213" t="s">
        <v>2280</v>
      </c>
      <c r="CO473" s="213" t="s">
        <v>896</v>
      </c>
      <c r="CP473" s="213" t="s">
        <v>879</v>
      </c>
      <c r="CQ473" s="213" t="s">
        <v>2281</v>
      </c>
      <c r="CR473" s="213" t="s">
        <v>2281</v>
      </c>
      <c r="CS473" s="213" t="s">
        <v>1620</v>
      </c>
      <c r="CT473" s="213" t="s">
        <v>1621</v>
      </c>
      <c r="CU473" s="213" t="s">
        <v>2206</v>
      </c>
      <c r="CV473" s="214" t="s">
        <v>2207</v>
      </c>
      <c r="CX473" s="212">
        <v>1</v>
      </c>
    </row>
    <row r="474" spans="91:102" ht="21" customHeight="1">
      <c r="CM474" s="210"/>
      <c r="CN474" s="213" t="s">
        <v>2282</v>
      </c>
      <c r="CO474" s="213" t="s">
        <v>896</v>
      </c>
      <c r="CP474" s="213" t="s">
        <v>879</v>
      </c>
      <c r="CQ474" s="213" t="s">
        <v>2283</v>
      </c>
      <c r="CR474" s="213" t="s">
        <v>2283</v>
      </c>
      <c r="CS474" s="213" t="s">
        <v>1620</v>
      </c>
      <c r="CT474" s="213" t="s">
        <v>1621</v>
      </c>
      <c r="CU474" s="213" t="s">
        <v>2206</v>
      </c>
      <c r="CV474" s="214" t="s">
        <v>2207</v>
      </c>
      <c r="CX474" s="212">
        <v>1</v>
      </c>
    </row>
    <row r="475" spans="91:102" ht="21" customHeight="1">
      <c r="CM475" s="210"/>
      <c r="CN475" s="213" t="s">
        <v>2284</v>
      </c>
      <c r="CO475" s="213" t="s">
        <v>896</v>
      </c>
      <c r="CP475" s="213" t="s">
        <v>879</v>
      </c>
      <c r="CQ475" s="213" t="s">
        <v>2285</v>
      </c>
      <c r="CR475" s="213" t="s">
        <v>2285</v>
      </c>
      <c r="CS475" s="213" t="s">
        <v>1620</v>
      </c>
      <c r="CT475" s="213" t="s">
        <v>1621</v>
      </c>
      <c r="CU475" s="213" t="s">
        <v>2206</v>
      </c>
      <c r="CV475" s="214" t="s">
        <v>2207</v>
      </c>
      <c r="CX475" s="212">
        <v>1</v>
      </c>
    </row>
    <row r="476" spans="91:102" ht="21" customHeight="1">
      <c r="CM476" s="210"/>
      <c r="CN476" s="213" t="s">
        <v>2286</v>
      </c>
      <c r="CO476" s="213" t="s">
        <v>896</v>
      </c>
      <c r="CP476" s="213" t="s">
        <v>879</v>
      </c>
      <c r="CQ476" s="213" t="s">
        <v>2287</v>
      </c>
      <c r="CR476" s="213" t="s">
        <v>2288</v>
      </c>
      <c r="CS476" s="213" t="s">
        <v>881</v>
      </c>
      <c r="CT476" s="213" t="s">
        <v>2289</v>
      </c>
      <c r="CU476" s="213" t="s">
        <v>883</v>
      </c>
      <c r="CV476" s="214" t="s">
        <v>884</v>
      </c>
      <c r="CX476" s="212">
        <v>1</v>
      </c>
    </row>
    <row r="477" spans="91:102" ht="21" customHeight="1">
      <c r="CM477" s="210"/>
      <c r="CN477" s="213" t="s">
        <v>2290</v>
      </c>
      <c r="CO477" s="213" t="s">
        <v>896</v>
      </c>
      <c r="CP477" s="213" t="s">
        <v>879</v>
      </c>
      <c r="CQ477" s="213" t="s">
        <v>2291</v>
      </c>
      <c r="CR477" s="213" t="s">
        <v>2291</v>
      </c>
      <c r="CS477" s="213" t="s">
        <v>1620</v>
      </c>
      <c r="CT477" s="213" t="s">
        <v>1621</v>
      </c>
      <c r="CU477" s="213" t="s">
        <v>2206</v>
      </c>
      <c r="CV477" s="214" t="s">
        <v>2207</v>
      </c>
      <c r="CX477" s="212">
        <v>1</v>
      </c>
    </row>
    <row r="478" spans="91:102" ht="21" customHeight="1">
      <c r="CM478" s="210"/>
      <c r="CN478" s="213" t="s">
        <v>2292</v>
      </c>
      <c r="CO478" s="213" t="s">
        <v>896</v>
      </c>
      <c r="CP478" s="213" t="s">
        <v>879</v>
      </c>
      <c r="CQ478" s="213" t="s">
        <v>2293</v>
      </c>
      <c r="CR478" s="213" t="s">
        <v>2293</v>
      </c>
      <c r="CS478" s="213" t="s">
        <v>1620</v>
      </c>
      <c r="CT478" s="213" t="s">
        <v>1621</v>
      </c>
      <c r="CU478" s="213" t="s">
        <v>2206</v>
      </c>
      <c r="CV478" s="214" t="s">
        <v>2207</v>
      </c>
      <c r="CX478" s="212">
        <v>1</v>
      </c>
    </row>
    <row r="479" spans="91:102" ht="21" customHeight="1">
      <c r="CM479" s="210"/>
      <c r="CN479" s="213" t="s">
        <v>2294</v>
      </c>
      <c r="CO479" s="213" t="s">
        <v>896</v>
      </c>
      <c r="CP479" s="213" t="s">
        <v>879</v>
      </c>
      <c r="CQ479" s="213" t="s">
        <v>2295</v>
      </c>
      <c r="CR479" s="213" t="s">
        <v>2295</v>
      </c>
      <c r="CS479" s="213" t="s">
        <v>1620</v>
      </c>
      <c r="CT479" s="213" t="s">
        <v>1621</v>
      </c>
      <c r="CU479" s="213" t="s">
        <v>2206</v>
      </c>
      <c r="CV479" s="214" t="s">
        <v>2207</v>
      </c>
      <c r="CX479" s="212">
        <v>1</v>
      </c>
    </row>
    <row r="480" spans="91:102" ht="21" customHeight="1">
      <c r="CM480" s="210"/>
      <c r="CN480" s="213" t="s">
        <v>2296</v>
      </c>
      <c r="CO480" s="213" t="s">
        <v>896</v>
      </c>
      <c r="CP480" s="213" t="s">
        <v>879</v>
      </c>
      <c r="CQ480" s="213" t="s">
        <v>2297</v>
      </c>
      <c r="CR480" s="213" t="s">
        <v>2297</v>
      </c>
      <c r="CS480" s="213" t="s">
        <v>1620</v>
      </c>
      <c r="CT480" s="213" t="s">
        <v>1621</v>
      </c>
      <c r="CU480" s="213" t="s">
        <v>2206</v>
      </c>
      <c r="CV480" s="214" t="s">
        <v>2207</v>
      </c>
      <c r="CX480" s="212">
        <v>1</v>
      </c>
    </row>
    <row r="481" spans="91:102" ht="21" customHeight="1">
      <c r="CM481" s="210"/>
      <c r="CN481" s="213" t="s">
        <v>2298</v>
      </c>
      <c r="CO481" s="213" t="s">
        <v>896</v>
      </c>
      <c r="CP481" s="213" t="s">
        <v>879</v>
      </c>
      <c r="CQ481" s="213" t="s">
        <v>2299</v>
      </c>
      <c r="CR481" s="213" t="s">
        <v>2299</v>
      </c>
      <c r="CS481" s="213" t="s">
        <v>1620</v>
      </c>
      <c r="CT481" s="213" t="s">
        <v>1621</v>
      </c>
      <c r="CU481" s="213" t="s">
        <v>2206</v>
      </c>
      <c r="CV481" s="214" t="s">
        <v>2207</v>
      </c>
      <c r="CX481" s="212">
        <v>1</v>
      </c>
    </row>
    <row r="482" spans="91:102" ht="21" customHeight="1">
      <c r="CM482" s="210"/>
      <c r="CN482" s="213" t="s">
        <v>2300</v>
      </c>
      <c r="CO482" s="213" t="s">
        <v>896</v>
      </c>
      <c r="CP482" s="213" t="s">
        <v>879</v>
      </c>
      <c r="CQ482" s="213" t="s">
        <v>2301</v>
      </c>
      <c r="CR482" s="213" t="s">
        <v>2301</v>
      </c>
      <c r="CS482" s="213" t="s">
        <v>1620</v>
      </c>
      <c r="CT482" s="213" t="s">
        <v>1621</v>
      </c>
      <c r="CU482" s="213" t="s">
        <v>2206</v>
      </c>
      <c r="CV482" s="214" t="s">
        <v>2207</v>
      </c>
      <c r="CX482" s="212">
        <v>1</v>
      </c>
    </row>
    <row r="483" spans="91:102" ht="21" customHeight="1">
      <c r="CM483" s="210"/>
      <c r="CN483" s="213" t="s">
        <v>2302</v>
      </c>
      <c r="CO483" s="213" t="s">
        <v>896</v>
      </c>
      <c r="CP483" s="213" t="s">
        <v>879</v>
      </c>
      <c r="CQ483" s="213" t="s">
        <v>2303</v>
      </c>
      <c r="CR483" s="213" t="s">
        <v>2303</v>
      </c>
      <c r="CS483" s="213" t="s">
        <v>1620</v>
      </c>
      <c r="CT483" s="213" t="s">
        <v>1621</v>
      </c>
      <c r="CU483" s="213" t="s">
        <v>2206</v>
      </c>
      <c r="CV483" s="214" t="s">
        <v>2207</v>
      </c>
      <c r="CX483" s="212">
        <v>1</v>
      </c>
    </row>
    <row r="484" spans="91:102" ht="21" customHeight="1">
      <c r="CM484" s="210"/>
      <c r="CN484" s="213" t="s">
        <v>2304</v>
      </c>
      <c r="CO484" s="213" t="s">
        <v>896</v>
      </c>
      <c r="CP484" s="213" t="s">
        <v>879</v>
      </c>
      <c r="CQ484" s="213" t="s">
        <v>2305</v>
      </c>
      <c r="CR484" s="213" t="s">
        <v>2305</v>
      </c>
      <c r="CS484" s="213" t="s">
        <v>971</v>
      </c>
      <c r="CT484" s="213" t="s">
        <v>972</v>
      </c>
      <c r="CU484" s="213" t="s">
        <v>883</v>
      </c>
      <c r="CV484" s="214" t="s">
        <v>973</v>
      </c>
      <c r="CX484" s="212">
        <v>1</v>
      </c>
    </row>
    <row r="485" spans="91:102" ht="21" customHeight="1">
      <c r="CM485" s="210"/>
      <c r="CN485" s="213" t="s">
        <v>2306</v>
      </c>
      <c r="CO485" s="213" t="s">
        <v>896</v>
      </c>
      <c r="CP485" s="213" t="s">
        <v>879</v>
      </c>
      <c r="CQ485" s="213" t="s">
        <v>2307</v>
      </c>
      <c r="CR485" s="213" t="s">
        <v>2307</v>
      </c>
      <c r="CS485" s="213" t="s">
        <v>971</v>
      </c>
      <c r="CT485" s="213" t="s">
        <v>972</v>
      </c>
      <c r="CU485" s="213" t="s">
        <v>883</v>
      </c>
      <c r="CV485" s="214" t="s">
        <v>973</v>
      </c>
      <c r="CX485" s="212">
        <v>1</v>
      </c>
    </row>
    <row r="486" spans="91:102" ht="21" customHeight="1">
      <c r="CM486" s="210"/>
      <c r="CN486" s="213" t="s">
        <v>2308</v>
      </c>
      <c r="CO486" s="213" t="s">
        <v>896</v>
      </c>
      <c r="CP486" s="213" t="s">
        <v>879</v>
      </c>
      <c r="CQ486" s="213" t="s">
        <v>2309</v>
      </c>
      <c r="CR486" s="213" t="s">
        <v>2309</v>
      </c>
      <c r="CS486" s="213" t="s">
        <v>1620</v>
      </c>
      <c r="CT486" s="213" t="s">
        <v>1621</v>
      </c>
      <c r="CU486" s="213" t="s">
        <v>2206</v>
      </c>
      <c r="CV486" s="214" t="s">
        <v>2207</v>
      </c>
      <c r="CX486" s="212">
        <v>1</v>
      </c>
    </row>
    <row r="487" spans="91:102" ht="21" customHeight="1">
      <c r="CM487" s="210"/>
      <c r="CN487" s="213" t="s">
        <v>2310</v>
      </c>
      <c r="CO487" s="213" t="s">
        <v>896</v>
      </c>
      <c r="CP487" s="213" t="s">
        <v>879</v>
      </c>
      <c r="CQ487" s="213" t="s">
        <v>2311</v>
      </c>
      <c r="CR487" s="213" t="s">
        <v>2311</v>
      </c>
      <c r="CS487" s="213" t="s">
        <v>1620</v>
      </c>
      <c r="CT487" s="213" t="s">
        <v>1621</v>
      </c>
      <c r="CU487" s="213" t="s">
        <v>2206</v>
      </c>
      <c r="CV487" s="214" t="s">
        <v>2207</v>
      </c>
      <c r="CX487" s="212">
        <v>1</v>
      </c>
    </row>
    <row r="488" spans="91:102" ht="21" customHeight="1">
      <c r="CM488" s="210"/>
      <c r="CN488" s="213" t="s">
        <v>2312</v>
      </c>
      <c r="CO488" s="213" t="s">
        <v>896</v>
      </c>
      <c r="CP488" s="213" t="s">
        <v>879</v>
      </c>
      <c r="CQ488" s="213" t="s">
        <v>2313</v>
      </c>
      <c r="CR488" s="213" t="s">
        <v>2313</v>
      </c>
      <c r="CS488" s="213" t="s">
        <v>1620</v>
      </c>
      <c r="CT488" s="213" t="s">
        <v>1621</v>
      </c>
      <c r="CU488" s="213" t="s">
        <v>2206</v>
      </c>
      <c r="CV488" s="214" t="s">
        <v>2207</v>
      </c>
      <c r="CX488" s="212">
        <v>1</v>
      </c>
    </row>
    <row r="489" spans="91:102" ht="21" customHeight="1">
      <c r="CM489" s="210"/>
      <c r="CN489" s="213" t="s">
        <v>2314</v>
      </c>
      <c r="CO489" s="213" t="s">
        <v>896</v>
      </c>
      <c r="CP489" s="213" t="s">
        <v>879</v>
      </c>
      <c r="CQ489" s="213" t="s">
        <v>2315</v>
      </c>
      <c r="CR489" s="213" t="s">
        <v>2315</v>
      </c>
      <c r="CS489" s="213" t="s">
        <v>1620</v>
      </c>
      <c r="CT489" s="213" t="s">
        <v>1621</v>
      </c>
      <c r="CU489" s="213" t="s">
        <v>2206</v>
      </c>
      <c r="CV489" s="214" t="s">
        <v>2207</v>
      </c>
      <c r="CX489" s="212">
        <v>1</v>
      </c>
    </row>
    <row r="490" spans="91:102" ht="21" customHeight="1">
      <c r="CM490" s="210"/>
      <c r="CN490" s="213" t="s">
        <v>2316</v>
      </c>
      <c r="CO490" s="213" t="s">
        <v>896</v>
      </c>
      <c r="CP490" s="213" t="s">
        <v>879</v>
      </c>
      <c r="CQ490" s="213" t="s">
        <v>2317</v>
      </c>
      <c r="CR490" s="213" t="s">
        <v>2317</v>
      </c>
      <c r="CS490" s="213" t="s">
        <v>1620</v>
      </c>
      <c r="CT490" s="213" t="s">
        <v>1621</v>
      </c>
      <c r="CU490" s="213" t="s">
        <v>2206</v>
      </c>
      <c r="CV490" s="214" t="s">
        <v>2207</v>
      </c>
      <c r="CX490" s="212">
        <v>1</v>
      </c>
    </row>
    <row r="491" spans="91:102" ht="21" customHeight="1">
      <c r="CM491" s="210"/>
      <c r="CN491" s="213" t="s">
        <v>2318</v>
      </c>
      <c r="CO491" s="213" t="s">
        <v>896</v>
      </c>
      <c r="CP491" s="213" t="s">
        <v>879</v>
      </c>
      <c r="CQ491" s="213" t="s">
        <v>2319</v>
      </c>
      <c r="CR491" s="213" t="s">
        <v>2319</v>
      </c>
      <c r="CS491" s="213" t="s">
        <v>1620</v>
      </c>
      <c r="CT491" s="213" t="s">
        <v>1621</v>
      </c>
      <c r="CU491" s="213" t="s">
        <v>2206</v>
      </c>
      <c r="CV491" s="214" t="s">
        <v>2207</v>
      </c>
      <c r="CX491" s="212">
        <v>1</v>
      </c>
    </row>
    <row r="492" spans="91:102" ht="21" customHeight="1">
      <c r="CM492" s="210"/>
      <c r="CN492" s="213" t="s">
        <v>2320</v>
      </c>
      <c r="CO492" s="213" t="s">
        <v>896</v>
      </c>
      <c r="CP492" s="213" t="s">
        <v>879</v>
      </c>
      <c r="CQ492" s="213" t="s">
        <v>2321</v>
      </c>
      <c r="CR492" s="213" t="s">
        <v>2321</v>
      </c>
      <c r="CS492" s="213" t="s">
        <v>1620</v>
      </c>
      <c r="CT492" s="213" t="s">
        <v>1621</v>
      </c>
      <c r="CU492" s="213" t="s">
        <v>2206</v>
      </c>
      <c r="CV492" s="214" t="s">
        <v>2207</v>
      </c>
      <c r="CX492" s="212">
        <v>1</v>
      </c>
    </row>
    <row r="493" spans="91:102" ht="21" customHeight="1">
      <c r="CM493" s="210"/>
      <c r="CN493" s="213" t="s">
        <v>2322</v>
      </c>
      <c r="CO493" s="213" t="s">
        <v>896</v>
      </c>
      <c r="CP493" s="213" t="s">
        <v>879</v>
      </c>
      <c r="CQ493" s="213" t="s">
        <v>2323</v>
      </c>
      <c r="CR493" s="213" t="s">
        <v>2323</v>
      </c>
      <c r="CS493" s="213" t="s">
        <v>1620</v>
      </c>
      <c r="CT493" s="213" t="s">
        <v>1621</v>
      </c>
      <c r="CU493" s="213" t="s">
        <v>2206</v>
      </c>
      <c r="CV493" s="214" t="s">
        <v>2207</v>
      </c>
      <c r="CX493" s="212">
        <v>1</v>
      </c>
    </row>
    <row r="494" spans="91:102" ht="21" customHeight="1">
      <c r="CM494" s="210"/>
      <c r="CN494" s="213" t="s">
        <v>2324</v>
      </c>
      <c r="CO494" s="213" t="s">
        <v>896</v>
      </c>
      <c r="CP494" s="213" t="s">
        <v>879</v>
      </c>
      <c r="CQ494" s="213" t="s">
        <v>2325</v>
      </c>
      <c r="CR494" s="213" t="s">
        <v>2325</v>
      </c>
      <c r="CS494" s="213" t="s">
        <v>1620</v>
      </c>
      <c r="CT494" s="213" t="s">
        <v>1621</v>
      </c>
      <c r="CU494" s="213" t="s">
        <v>2206</v>
      </c>
      <c r="CV494" s="214" t="s">
        <v>2207</v>
      </c>
      <c r="CX494" s="212">
        <v>1</v>
      </c>
    </row>
    <row r="495" spans="91:102" ht="21" customHeight="1">
      <c r="CM495" s="210"/>
      <c r="CN495" s="213" t="s">
        <v>2326</v>
      </c>
      <c r="CO495" s="213" t="s">
        <v>896</v>
      </c>
      <c r="CP495" s="213" t="s">
        <v>879</v>
      </c>
      <c r="CQ495" s="213" t="s">
        <v>2327</v>
      </c>
      <c r="CR495" s="213" t="s">
        <v>2327</v>
      </c>
      <c r="CS495" s="213" t="s">
        <v>1620</v>
      </c>
      <c r="CT495" s="213" t="s">
        <v>1621</v>
      </c>
      <c r="CU495" s="213" t="s">
        <v>2206</v>
      </c>
      <c r="CV495" s="214" t="s">
        <v>2207</v>
      </c>
      <c r="CX495" s="212">
        <v>1</v>
      </c>
    </row>
    <row r="496" spans="91:102" ht="21" customHeight="1">
      <c r="CM496" s="210"/>
      <c r="CN496" s="213" t="s">
        <v>2328</v>
      </c>
      <c r="CO496" s="213" t="s">
        <v>896</v>
      </c>
      <c r="CP496" s="213" t="s">
        <v>879</v>
      </c>
      <c r="CQ496" s="213" t="s">
        <v>2329</v>
      </c>
      <c r="CR496" s="213" t="s">
        <v>2329</v>
      </c>
      <c r="CS496" s="213" t="s">
        <v>1620</v>
      </c>
      <c r="CT496" s="213" t="s">
        <v>1621</v>
      </c>
      <c r="CU496" s="213" t="s">
        <v>2206</v>
      </c>
      <c r="CV496" s="214" t="s">
        <v>2207</v>
      </c>
      <c r="CX496" s="212">
        <v>1</v>
      </c>
    </row>
    <row r="497" spans="91:102" ht="21" customHeight="1">
      <c r="CM497" s="210"/>
      <c r="CN497" s="213" t="s">
        <v>2330</v>
      </c>
      <c r="CO497" s="213" t="s">
        <v>896</v>
      </c>
      <c r="CP497" s="213" t="s">
        <v>879</v>
      </c>
      <c r="CQ497" s="213" t="s">
        <v>2331</v>
      </c>
      <c r="CR497" s="213" t="s">
        <v>2331</v>
      </c>
      <c r="CS497" s="213" t="s">
        <v>1620</v>
      </c>
      <c r="CT497" s="213" t="s">
        <v>1621</v>
      </c>
      <c r="CU497" s="213" t="s">
        <v>2206</v>
      </c>
      <c r="CV497" s="214" t="s">
        <v>2207</v>
      </c>
      <c r="CX497" s="212">
        <v>1</v>
      </c>
    </row>
    <row r="498" spans="91:102" ht="21" customHeight="1">
      <c r="CM498" s="210"/>
      <c r="CN498" s="213" t="s">
        <v>2332</v>
      </c>
      <c r="CO498" s="213" t="s">
        <v>896</v>
      </c>
      <c r="CP498" s="213" t="s">
        <v>879</v>
      </c>
      <c r="CQ498" s="213" t="s">
        <v>2333</v>
      </c>
      <c r="CR498" s="213" t="s">
        <v>2333</v>
      </c>
      <c r="CS498" s="213" t="s">
        <v>1620</v>
      </c>
      <c r="CT498" s="213" t="s">
        <v>1621</v>
      </c>
      <c r="CU498" s="213" t="s">
        <v>2206</v>
      </c>
      <c r="CV498" s="214" t="s">
        <v>2207</v>
      </c>
      <c r="CX498" s="212">
        <v>1</v>
      </c>
    </row>
    <row r="499" spans="91:102" ht="21" customHeight="1">
      <c r="CM499" s="210"/>
      <c r="CN499" s="213" t="s">
        <v>2334</v>
      </c>
      <c r="CO499" s="213" t="s">
        <v>896</v>
      </c>
      <c r="CP499" s="213" t="s">
        <v>879</v>
      </c>
      <c r="CQ499" s="213" t="s">
        <v>2335</v>
      </c>
      <c r="CR499" s="213" t="s">
        <v>2335</v>
      </c>
      <c r="CS499" s="213" t="s">
        <v>1620</v>
      </c>
      <c r="CT499" s="213" t="s">
        <v>1621</v>
      </c>
      <c r="CU499" s="213" t="s">
        <v>2206</v>
      </c>
      <c r="CV499" s="214" t="s">
        <v>2207</v>
      </c>
      <c r="CX499" s="212">
        <v>1</v>
      </c>
    </row>
    <row r="500" spans="91:102" ht="21" customHeight="1">
      <c r="CM500" s="210"/>
      <c r="CN500" s="213" t="s">
        <v>2336</v>
      </c>
      <c r="CO500" s="213" t="s">
        <v>896</v>
      </c>
      <c r="CP500" s="213" t="s">
        <v>879</v>
      </c>
      <c r="CQ500" s="213" t="s">
        <v>2337</v>
      </c>
      <c r="CR500" s="213" t="s">
        <v>2337</v>
      </c>
      <c r="CS500" s="213" t="s">
        <v>1620</v>
      </c>
      <c r="CT500" s="213" t="s">
        <v>1621</v>
      </c>
      <c r="CU500" s="213" t="s">
        <v>2206</v>
      </c>
      <c r="CV500" s="214" t="s">
        <v>2207</v>
      </c>
      <c r="CX500" s="212">
        <v>1</v>
      </c>
    </row>
    <row r="501" spans="91:102" ht="21" customHeight="1">
      <c r="CM501" s="210"/>
      <c r="CN501" s="213" t="s">
        <v>2338</v>
      </c>
      <c r="CO501" s="213" t="s">
        <v>896</v>
      </c>
      <c r="CP501" s="213" t="s">
        <v>879</v>
      </c>
      <c r="CQ501" s="213" t="s">
        <v>2339</v>
      </c>
      <c r="CR501" s="213" t="s">
        <v>2339</v>
      </c>
      <c r="CS501" s="213" t="s">
        <v>1620</v>
      </c>
      <c r="CT501" s="213" t="s">
        <v>1621</v>
      </c>
      <c r="CU501" s="213" t="s">
        <v>2206</v>
      </c>
      <c r="CV501" s="214" t="s">
        <v>2207</v>
      </c>
      <c r="CX501" s="212">
        <v>1</v>
      </c>
    </row>
    <row r="502" spans="91:102" ht="21" customHeight="1">
      <c r="CM502" s="210"/>
      <c r="CN502" s="213" t="s">
        <v>2340</v>
      </c>
      <c r="CO502" s="213" t="s">
        <v>896</v>
      </c>
      <c r="CP502" s="213" t="s">
        <v>879</v>
      </c>
      <c r="CQ502" s="213" t="s">
        <v>2341</v>
      </c>
      <c r="CR502" s="213" t="s">
        <v>2341</v>
      </c>
      <c r="CS502" s="213" t="s">
        <v>1620</v>
      </c>
      <c r="CT502" s="213" t="s">
        <v>1621</v>
      </c>
      <c r="CU502" s="213" t="s">
        <v>2206</v>
      </c>
      <c r="CV502" s="214" t="s">
        <v>2207</v>
      </c>
      <c r="CX502" s="212">
        <v>1</v>
      </c>
    </row>
    <row r="503" spans="91:102" ht="21" customHeight="1">
      <c r="CM503" s="210"/>
      <c r="CN503" s="213" t="s">
        <v>2342</v>
      </c>
      <c r="CO503" s="213" t="s">
        <v>896</v>
      </c>
      <c r="CP503" s="213" t="s">
        <v>879</v>
      </c>
      <c r="CQ503" s="213" t="s">
        <v>2343</v>
      </c>
      <c r="CR503" s="213" t="s">
        <v>2343</v>
      </c>
      <c r="CS503" s="213" t="s">
        <v>1620</v>
      </c>
      <c r="CT503" s="213" t="s">
        <v>1621</v>
      </c>
      <c r="CU503" s="213" t="s">
        <v>2206</v>
      </c>
      <c r="CV503" s="214" t="s">
        <v>2207</v>
      </c>
      <c r="CX503" s="212">
        <v>1</v>
      </c>
    </row>
    <row r="504" spans="91:102" ht="21" customHeight="1">
      <c r="CM504" s="210"/>
      <c r="CN504" s="213" t="s">
        <v>2344</v>
      </c>
      <c r="CO504" s="213" t="s">
        <v>896</v>
      </c>
      <c r="CP504" s="213" t="s">
        <v>879</v>
      </c>
      <c r="CQ504" s="213" t="s">
        <v>2345</v>
      </c>
      <c r="CR504" s="213" t="s">
        <v>2345</v>
      </c>
      <c r="CS504" s="213" t="s">
        <v>1620</v>
      </c>
      <c r="CT504" s="213" t="s">
        <v>1621</v>
      </c>
      <c r="CU504" s="213" t="s">
        <v>2206</v>
      </c>
      <c r="CV504" s="214" t="s">
        <v>2207</v>
      </c>
      <c r="CX504" s="212">
        <v>1</v>
      </c>
    </row>
    <row r="505" spans="91:102" ht="21" customHeight="1">
      <c r="CM505" s="210"/>
      <c r="CN505" s="213" t="s">
        <v>2346</v>
      </c>
      <c r="CO505" s="213" t="s">
        <v>896</v>
      </c>
      <c r="CP505" s="213" t="s">
        <v>879</v>
      </c>
      <c r="CQ505" s="213" t="s">
        <v>2347</v>
      </c>
      <c r="CR505" s="213" t="s">
        <v>2347</v>
      </c>
      <c r="CS505" s="213" t="s">
        <v>1620</v>
      </c>
      <c r="CT505" s="213" t="s">
        <v>1621</v>
      </c>
      <c r="CU505" s="213" t="s">
        <v>2206</v>
      </c>
      <c r="CV505" s="214" t="s">
        <v>2207</v>
      </c>
      <c r="CX505" s="212">
        <v>1</v>
      </c>
    </row>
    <row r="506" spans="91:102" ht="21" customHeight="1">
      <c r="CM506" s="210"/>
      <c r="CN506" s="213" t="s">
        <v>2348</v>
      </c>
      <c r="CO506" s="213" t="s">
        <v>896</v>
      </c>
      <c r="CP506" s="213" t="s">
        <v>879</v>
      </c>
      <c r="CQ506" s="213" t="s">
        <v>2349</v>
      </c>
      <c r="CR506" s="213" t="s">
        <v>2349</v>
      </c>
      <c r="CS506" s="213" t="s">
        <v>1620</v>
      </c>
      <c r="CT506" s="213" t="s">
        <v>1621</v>
      </c>
      <c r="CU506" s="213" t="s">
        <v>2206</v>
      </c>
      <c r="CV506" s="214" t="s">
        <v>2207</v>
      </c>
      <c r="CX506" s="212">
        <v>1</v>
      </c>
    </row>
    <row r="507" spans="91:102" ht="21" customHeight="1">
      <c r="CM507" s="210"/>
      <c r="CN507" s="213" t="s">
        <v>2350</v>
      </c>
      <c r="CO507" s="213" t="s">
        <v>896</v>
      </c>
      <c r="CP507" s="213" t="s">
        <v>879</v>
      </c>
      <c r="CQ507" s="213" t="s">
        <v>2351</v>
      </c>
      <c r="CR507" s="213" t="s">
        <v>2351</v>
      </c>
      <c r="CS507" s="213" t="s">
        <v>1620</v>
      </c>
      <c r="CT507" s="213" t="s">
        <v>1621</v>
      </c>
      <c r="CU507" s="213" t="s">
        <v>2206</v>
      </c>
      <c r="CV507" s="214" t="s">
        <v>2207</v>
      </c>
      <c r="CX507" s="212">
        <v>1</v>
      </c>
    </row>
    <row r="508" spans="91:102" ht="21" customHeight="1">
      <c r="CM508" s="210"/>
      <c r="CN508" s="213" t="s">
        <v>2352</v>
      </c>
      <c r="CO508" s="213" t="s">
        <v>896</v>
      </c>
      <c r="CP508" s="213" t="s">
        <v>879</v>
      </c>
      <c r="CQ508" s="213" t="s">
        <v>2353</v>
      </c>
      <c r="CR508" s="213" t="s">
        <v>2353</v>
      </c>
      <c r="CS508" s="213" t="s">
        <v>1620</v>
      </c>
      <c r="CT508" s="213" t="s">
        <v>1621</v>
      </c>
      <c r="CU508" s="213" t="s">
        <v>2206</v>
      </c>
      <c r="CV508" s="214" t="s">
        <v>2207</v>
      </c>
      <c r="CX508" s="212">
        <v>1</v>
      </c>
    </row>
    <row r="509" spans="91:102" ht="21" customHeight="1">
      <c r="CM509" s="210"/>
      <c r="CN509" s="213" t="s">
        <v>2354</v>
      </c>
      <c r="CO509" s="213" t="s">
        <v>896</v>
      </c>
      <c r="CP509" s="213" t="s">
        <v>879</v>
      </c>
      <c r="CQ509" s="213" t="s">
        <v>2355</v>
      </c>
      <c r="CR509" s="213" t="s">
        <v>2355</v>
      </c>
      <c r="CS509" s="213" t="s">
        <v>1620</v>
      </c>
      <c r="CT509" s="213" t="s">
        <v>1621</v>
      </c>
      <c r="CU509" s="213" t="s">
        <v>2206</v>
      </c>
      <c r="CV509" s="214" t="s">
        <v>2207</v>
      </c>
      <c r="CX509" s="212">
        <v>1</v>
      </c>
    </row>
    <row r="510" spans="91:102" ht="21" customHeight="1">
      <c r="CM510" s="210"/>
      <c r="CN510" s="213" t="s">
        <v>2356</v>
      </c>
      <c r="CO510" s="213" t="s">
        <v>896</v>
      </c>
      <c r="CP510" s="213" t="s">
        <v>879</v>
      </c>
      <c r="CQ510" s="213" t="s">
        <v>2357</v>
      </c>
      <c r="CR510" s="213" t="s">
        <v>2357</v>
      </c>
      <c r="CS510" s="213" t="s">
        <v>1620</v>
      </c>
      <c r="CT510" s="213" t="s">
        <v>1621</v>
      </c>
      <c r="CU510" s="213" t="s">
        <v>2206</v>
      </c>
      <c r="CV510" s="214" t="s">
        <v>2207</v>
      </c>
      <c r="CX510" s="212">
        <v>1</v>
      </c>
    </row>
    <row r="511" spans="91:102" ht="21" customHeight="1">
      <c r="CM511" s="210"/>
      <c r="CN511" s="213" t="s">
        <v>2358</v>
      </c>
      <c r="CO511" s="213" t="s">
        <v>896</v>
      </c>
      <c r="CP511" s="213" t="s">
        <v>879</v>
      </c>
      <c r="CQ511" s="213" t="s">
        <v>2359</v>
      </c>
      <c r="CR511" s="213" t="s">
        <v>2359</v>
      </c>
      <c r="CS511" s="213" t="s">
        <v>1620</v>
      </c>
      <c r="CT511" s="213" t="s">
        <v>1621</v>
      </c>
      <c r="CU511" s="213" t="s">
        <v>2206</v>
      </c>
      <c r="CV511" s="214" t="s">
        <v>2207</v>
      </c>
      <c r="CX511" s="212">
        <v>1</v>
      </c>
    </row>
    <row r="512" spans="91:102" ht="21" customHeight="1">
      <c r="CM512" s="210"/>
      <c r="CN512" s="213" t="s">
        <v>2360</v>
      </c>
      <c r="CO512" s="213" t="s">
        <v>896</v>
      </c>
      <c r="CP512" s="213" t="s">
        <v>879</v>
      </c>
      <c r="CQ512" s="213" t="s">
        <v>2361</v>
      </c>
      <c r="CR512" s="213" t="s">
        <v>2361</v>
      </c>
      <c r="CS512" s="213" t="s">
        <v>1620</v>
      </c>
      <c r="CT512" s="213" t="s">
        <v>1621</v>
      </c>
      <c r="CU512" s="213" t="s">
        <v>2206</v>
      </c>
      <c r="CV512" s="214" t="s">
        <v>2207</v>
      </c>
      <c r="CX512" s="212">
        <v>1</v>
      </c>
    </row>
    <row r="513" spans="91:102" ht="21" customHeight="1">
      <c r="CM513" s="210"/>
      <c r="CN513" s="213" t="s">
        <v>2362</v>
      </c>
      <c r="CO513" s="213" t="s">
        <v>896</v>
      </c>
      <c r="CP513" s="213" t="s">
        <v>879</v>
      </c>
      <c r="CQ513" s="213" t="s">
        <v>2363</v>
      </c>
      <c r="CR513" s="213" t="s">
        <v>2363</v>
      </c>
      <c r="CS513" s="213" t="s">
        <v>1620</v>
      </c>
      <c r="CT513" s="213" t="s">
        <v>1621</v>
      </c>
      <c r="CU513" s="213" t="s">
        <v>2206</v>
      </c>
      <c r="CV513" s="214" t="s">
        <v>2207</v>
      </c>
      <c r="CX513" s="212">
        <v>1</v>
      </c>
    </row>
    <row r="514" spans="91:102" ht="21" customHeight="1">
      <c r="CM514" s="210"/>
      <c r="CN514" s="213" t="s">
        <v>2364</v>
      </c>
      <c r="CO514" s="213" t="s">
        <v>896</v>
      </c>
      <c r="CP514" s="213" t="s">
        <v>879</v>
      </c>
      <c r="CQ514" s="213" t="s">
        <v>2365</v>
      </c>
      <c r="CR514" s="213" t="s">
        <v>2365</v>
      </c>
      <c r="CS514" s="213" t="s">
        <v>1620</v>
      </c>
      <c r="CT514" s="213" t="s">
        <v>1621</v>
      </c>
      <c r="CU514" s="213" t="s">
        <v>2206</v>
      </c>
      <c r="CV514" s="214" t="s">
        <v>2207</v>
      </c>
      <c r="CX514" s="212">
        <v>1</v>
      </c>
    </row>
    <row r="515" spans="91:102" ht="21" customHeight="1">
      <c r="CM515" s="210"/>
      <c r="CN515" s="213" t="s">
        <v>2366</v>
      </c>
      <c r="CO515" s="213" t="s">
        <v>896</v>
      </c>
      <c r="CP515" s="213" t="s">
        <v>879</v>
      </c>
      <c r="CQ515" s="213" t="s">
        <v>2367</v>
      </c>
      <c r="CR515" s="213" t="s">
        <v>2367</v>
      </c>
      <c r="CS515" s="213" t="s">
        <v>1620</v>
      </c>
      <c r="CT515" s="213" t="s">
        <v>1621</v>
      </c>
      <c r="CU515" s="213" t="s">
        <v>2206</v>
      </c>
      <c r="CV515" s="214" t="s">
        <v>2207</v>
      </c>
      <c r="CX515" s="212">
        <v>1</v>
      </c>
    </row>
    <row r="516" spans="91:102" ht="21" customHeight="1">
      <c r="CM516" s="210"/>
      <c r="CN516" s="213" t="s">
        <v>2368</v>
      </c>
      <c r="CO516" s="213" t="s">
        <v>896</v>
      </c>
      <c r="CP516" s="213" t="s">
        <v>879</v>
      </c>
      <c r="CQ516" s="213" t="s">
        <v>2369</v>
      </c>
      <c r="CR516" s="213" t="s">
        <v>2369</v>
      </c>
      <c r="CS516" s="213" t="s">
        <v>1620</v>
      </c>
      <c r="CT516" s="213" t="s">
        <v>1621</v>
      </c>
      <c r="CU516" s="213" t="s">
        <v>2206</v>
      </c>
      <c r="CV516" s="214" t="s">
        <v>2207</v>
      </c>
      <c r="CX516" s="212">
        <v>1</v>
      </c>
    </row>
    <row r="517" spans="91:102" ht="21" customHeight="1">
      <c r="CM517" s="210"/>
      <c r="CN517" s="213" t="s">
        <v>2370</v>
      </c>
      <c r="CO517" s="213" t="s">
        <v>896</v>
      </c>
      <c r="CP517" s="213" t="s">
        <v>879</v>
      </c>
      <c r="CQ517" s="213" t="s">
        <v>2371</v>
      </c>
      <c r="CR517" s="213" t="s">
        <v>2371</v>
      </c>
      <c r="CS517" s="213" t="s">
        <v>1620</v>
      </c>
      <c r="CT517" s="213" t="s">
        <v>1621</v>
      </c>
      <c r="CU517" s="213" t="s">
        <v>2206</v>
      </c>
      <c r="CV517" s="214" t="s">
        <v>2207</v>
      </c>
      <c r="CX517" s="212">
        <v>1</v>
      </c>
    </row>
    <row r="518" spans="91:102" ht="21" customHeight="1">
      <c r="CM518" s="210"/>
      <c r="CN518" s="213" t="s">
        <v>2372</v>
      </c>
      <c r="CO518" s="213" t="s">
        <v>896</v>
      </c>
      <c r="CP518" s="213" t="s">
        <v>879</v>
      </c>
      <c r="CQ518" s="213" t="s">
        <v>2373</v>
      </c>
      <c r="CR518" s="213" t="s">
        <v>2373</v>
      </c>
      <c r="CS518" s="213" t="s">
        <v>1620</v>
      </c>
      <c r="CT518" s="213" t="s">
        <v>1621</v>
      </c>
      <c r="CU518" s="213" t="s">
        <v>2206</v>
      </c>
      <c r="CV518" s="214" t="s">
        <v>2207</v>
      </c>
      <c r="CX518" s="212">
        <v>1</v>
      </c>
    </row>
    <row r="519" spans="91:102" ht="21" customHeight="1">
      <c r="CM519" s="210"/>
      <c r="CN519" s="213" t="s">
        <v>2374</v>
      </c>
      <c r="CO519" s="213" t="s">
        <v>896</v>
      </c>
      <c r="CP519" s="213" t="s">
        <v>879</v>
      </c>
      <c r="CQ519" s="213" t="s">
        <v>2375</v>
      </c>
      <c r="CR519" s="213" t="s">
        <v>2375</v>
      </c>
      <c r="CS519" s="213" t="s">
        <v>1620</v>
      </c>
      <c r="CT519" s="213" t="s">
        <v>1621</v>
      </c>
      <c r="CU519" s="213" t="s">
        <v>2206</v>
      </c>
      <c r="CV519" s="214" t="s">
        <v>2207</v>
      </c>
      <c r="CX519" s="212">
        <v>1</v>
      </c>
    </row>
    <row r="520" spans="91:102" ht="21" customHeight="1">
      <c r="CM520" s="210"/>
      <c r="CN520" s="213" t="s">
        <v>2376</v>
      </c>
      <c r="CO520" s="213" t="s">
        <v>896</v>
      </c>
      <c r="CP520" s="213" t="s">
        <v>879</v>
      </c>
      <c r="CQ520" s="213" t="s">
        <v>2377</v>
      </c>
      <c r="CR520" s="213" t="s">
        <v>2377</v>
      </c>
      <c r="CS520" s="213" t="s">
        <v>1620</v>
      </c>
      <c r="CT520" s="213" t="s">
        <v>1621</v>
      </c>
      <c r="CU520" s="213" t="s">
        <v>2206</v>
      </c>
      <c r="CV520" s="214" t="s">
        <v>2207</v>
      </c>
      <c r="CX520" s="212">
        <v>1</v>
      </c>
    </row>
    <row r="521" spans="91:102" ht="21" customHeight="1">
      <c r="CM521" s="210"/>
      <c r="CN521" s="213" t="s">
        <v>2378</v>
      </c>
      <c r="CO521" s="213" t="s">
        <v>896</v>
      </c>
      <c r="CP521" s="213" t="s">
        <v>879</v>
      </c>
      <c r="CQ521" s="213" t="s">
        <v>2379</v>
      </c>
      <c r="CR521" s="213" t="s">
        <v>2379</v>
      </c>
      <c r="CS521" s="213" t="s">
        <v>1620</v>
      </c>
      <c r="CT521" s="213" t="s">
        <v>1621</v>
      </c>
      <c r="CU521" s="213" t="s">
        <v>2206</v>
      </c>
      <c r="CV521" s="214" t="s">
        <v>2207</v>
      </c>
      <c r="CX521" s="212">
        <v>1</v>
      </c>
    </row>
    <row r="522" spans="91:102" ht="21" customHeight="1">
      <c r="CM522" s="210"/>
      <c r="CN522" s="213" t="s">
        <v>2380</v>
      </c>
      <c r="CO522" s="213" t="s">
        <v>896</v>
      </c>
      <c r="CP522" s="213" t="s">
        <v>879</v>
      </c>
      <c r="CQ522" s="213" t="s">
        <v>2381</v>
      </c>
      <c r="CR522" s="213" t="s">
        <v>2381</v>
      </c>
      <c r="CS522" s="213" t="s">
        <v>1620</v>
      </c>
      <c r="CT522" s="213" t="s">
        <v>1621</v>
      </c>
      <c r="CU522" s="213" t="s">
        <v>2206</v>
      </c>
      <c r="CV522" s="214" t="s">
        <v>2207</v>
      </c>
      <c r="CX522" s="212">
        <v>1</v>
      </c>
    </row>
    <row r="523" spans="91:102" ht="21" customHeight="1">
      <c r="CM523" s="210"/>
      <c r="CN523" s="213" t="s">
        <v>2382</v>
      </c>
      <c r="CO523" s="213" t="s">
        <v>896</v>
      </c>
      <c r="CP523" s="213" t="s">
        <v>879</v>
      </c>
      <c r="CQ523" s="213" t="s">
        <v>2383</v>
      </c>
      <c r="CR523" s="213" t="s">
        <v>2383</v>
      </c>
      <c r="CS523" s="213" t="s">
        <v>1620</v>
      </c>
      <c r="CT523" s="213" t="s">
        <v>1621</v>
      </c>
      <c r="CU523" s="213" t="s">
        <v>2206</v>
      </c>
      <c r="CV523" s="214" t="s">
        <v>2207</v>
      </c>
      <c r="CX523" s="212">
        <v>1</v>
      </c>
    </row>
    <row r="524" spans="91:102" ht="21" customHeight="1">
      <c r="CM524" s="210"/>
      <c r="CN524" s="213" t="s">
        <v>2384</v>
      </c>
      <c r="CO524" s="213" t="s">
        <v>896</v>
      </c>
      <c r="CP524" s="213" t="s">
        <v>879</v>
      </c>
      <c r="CQ524" s="213" t="s">
        <v>2385</v>
      </c>
      <c r="CR524" s="213" t="s">
        <v>2385</v>
      </c>
      <c r="CS524" s="213" t="s">
        <v>1620</v>
      </c>
      <c r="CT524" s="213" t="s">
        <v>1621</v>
      </c>
      <c r="CU524" s="213" t="s">
        <v>2206</v>
      </c>
      <c r="CV524" s="214" t="s">
        <v>2207</v>
      </c>
      <c r="CX524" s="212">
        <v>1</v>
      </c>
    </row>
    <row r="525" spans="91:102" ht="21" customHeight="1">
      <c r="CM525" s="210"/>
      <c r="CN525" s="213" t="s">
        <v>2386</v>
      </c>
      <c r="CO525" s="213" t="s">
        <v>896</v>
      </c>
      <c r="CP525" s="213" t="s">
        <v>879</v>
      </c>
      <c r="CQ525" s="213" t="s">
        <v>2387</v>
      </c>
      <c r="CR525" s="213" t="s">
        <v>2387</v>
      </c>
      <c r="CS525" s="213" t="s">
        <v>1620</v>
      </c>
      <c r="CT525" s="213" t="s">
        <v>1621</v>
      </c>
      <c r="CU525" s="213" t="s">
        <v>2206</v>
      </c>
      <c r="CV525" s="214" t="s">
        <v>2207</v>
      </c>
      <c r="CX525" s="212">
        <v>1</v>
      </c>
    </row>
    <row r="526" spans="91:102" ht="21" customHeight="1">
      <c r="CM526" s="210"/>
      <c r="CN526" s="213" t="s">
        <v>2388</v>
      </c>
      <c r="CO526" s="213" t="s">
        <v>896</v>
      </c>
      <c r="CP526" s="213" t="s">
        <v>879</v>
      </c>
      <c r="CQ526" s="213" t="s">
        <v>2389</v>
      </c>
      <c r="CR526" s="213" t="s">
        <v>2389</v>
      </c>
      <c r="CS526" s="213" t="s">
        <v>1620</v>
      </c>
      <c r="CT526" s="213" t="s">
        <v>1621</v>
      </c>
      <c r="CU526" s="213" t="s">
        <v>2206</v>
      </c>
      <c r="CV526" s="214" t="s">
        <v>2207</v>
      </c>
      <c r="CX526" s="212">
        <v>1</v>
      </c>
    </row>
    <row r="527" spans="91:102" ht="21" customHeight="1">
      <c r="CM527" s="210"/>
      <c r="CN527" s="213" t="s">
        <v>2390</v>
      </c>
      <c r="CO527" s="213" t="s">
        <v>896</v>
      </c>
      <c r="CP527" s="213" t="s">
        <v>879</v>
      </c>
      <c r="CQ527" s="213" t="s">
        <v>2391</v>
      </c>
      <c r="CR527" s="213" t="s">
        <v>2391</v>
      </c>
      <c r="CS527" s="213" t="s">
        <v>1620</v>
      </c>
      <c r="CT527" s="213" t="s">
        <v>1621</v>
      </c>
      <c r="CU527" s="213" t="s">
        <v>2206</v>
      </c>
      <c r="CV527" s="214" t="s">
        <v>2207</v>
      </c>
      <c r="CX527" s="212">
        <v>1</v>
      </c>
    </row>
    <row r="528" spans="91:102" ht="21" customHeight="1">
      <c r="CM528" s="210"/>
      <c r="CN528" s="213" t="s">
        <v>2392</v>
      </c>
      <c r="CO528" s="213" t="s">
        <v>896</v>
      </c>
      <c r="CP528" s="213" t="s">
        <v>879</v>
      </c>
      <c r="CQ528" s="213" t="s">
        <v>2393</v>
      </c>
      <c r="CR528" s="213" t="s">
        <v>2393</v>
      </c>
      <c r="CS528" s="213" t="s">
        <v>1620</v>
      </c>
      <c r="CT528" s="213" t="s">
        <v>1621</v>
      </c>
      <c r="CU528" s="213" t="s">
        <v>2206</v>
      </c>
      <c r="CV528" s="214" t="s">
        <v>2207</v>
      </c>
      <c r="CX528" s="212">
        <v>1</v>
      </c>
    </row>
    <row r="529" spans="91:102" ht="21" customHeight="1">
      <c r="CM529" s="210"/>
      <c r="CN529" s="213" t="s">
        <v>2394</v>
      </c>
      <c r="CO529" s="213" t="s">
        <v>896</v>
      </c>
      <c r="CP529" s="213" t="s">
        <v>879</v>
      </c>
      <c r="CQ529" s="213" t="s">
        <v>2395</v>
      </c>
      <c r="CR529" s="213" t="s">
        <v>2395</v>
      </c>
      <c r="CS529" s="213" t="s">
        <v>1620</v>
      </c>
      <c r="CT529" s="213" t="s">
        <v>1621</v>
      </c>
      <c r="CU529" s="213" t="s">
        <v>2206</v>
      </c>
      <c r="CV529" s="214" t="s">
        <v>2207</v>
      </c>
      <c r="CX529" s="212">
        <v>1</v>
      </c>
    </row>
    <row r="530" spans="91:102" ht="21" customHeight="1">
      <c r="CM530" s="210"/>
      <c r="CN530" s="213" t="s">
        <v>2396</v>
      </c>
      <c r="CO530" s="213" t="s">
        <v>896</v>
      </c>
      <c r="CP530" s="213" t="s">
        <v>879</v>
      </c>
      <c r="CQ530" s="213" t="s">
        <v>2397</v>
      </c>
      <c r="CR530" s="213" t="s">
        <v>2397</v>
      </c>
      <c r="CS530" s="213" t="s">
        <v>1620</v>
      </c>
      <c r="CT530" s="213" t="s">
        <v>1621</v>
      </c>
      <c r="CU530" s="213" t="s">
        <v>2206</v>
      </c>
      <c r="CV530" s="214" t="s">
        <v>2207</v>
      </c>
      <c r="CX530" s="212">
        <v>1</v>
      </c>
    </row>
    <row r="531" spans="91:102" ht="21" customHeight="1">
      <c r="CM531" s="210"/>
      <c r="CN531" s="213" t="s">
        <v>2398</v>
      </c>
      <c r="CO531" s="213" t="s">
        <v>896</v>
      </c>
      <c r="CP531" s="213" t="s">
        <v>879</v>
      </c>
      <c r="CQ531" s="213" t="s">
        <v>2399</v>
      </c>
      <c r="CR531" s="213" t="s">
        <v>2399</v>
      </c>
      <c r="CS531" s="213" t="s">
        <v>1620</v>
      </c>
      <c r="CT531" s="213" t="s">
        <v>1621</v>
      </c>
      <c r="CU531" s="213" t="s">
        <v>2206</v>
      </c>
      <c r="CV531" s="214" t="s">
        <v>2207</v>
      </c>
      <c r="CX531" s="212">
        <v>1</v>
      </c>
    </row>
    <row r="532" spans="91:102" ht="21" customHeight="1">
      <c r="CM532" s="210"/>
      <c r="CN532" s="213" t="s">
        <v>2400</v>
      </c>
      <c r="CO532" s="213" t="s">
        <v>896</v>
      </c>
      <c r="CP532" s="213" t="s">
        <v>879</v>
      </c>
      <c r="CQ532" s="213" t="s">
        <v>2401</v>
      </c>
      <c r="CR532" s="213" t="s">
        <v>2401</v>
      </c>
      <c r="CS532" s="213" t="s">
        <v>1620</v>
      </c>
      <c r="CT532" s="213" t="s">
        <v>1621</v>
      </c>
      <c r="CU532" s="213" t="s">
        <v>2206</v>
      </c>
      <c r="CV532" s="214" t="s">
        <v>2207</v>
      </c>
      <c r="CX532" s="212">
        <v>1</v>
      </c>
    </row>
    <row r="533" spans="91:102" ht="21" customHeight="1">
      <c r="CM533" s="210"/>
      <c r="CN533" s="213" t="s">
        <v>2402</v>
      </c>
      <c r="CO533" s="213" t="s">
        <v>896</v>
      </c>
      <c r="CP533" s="213" t="s">
        <v>879</v>
      </c>
      <c r="CQ533" s="213" t="s">
        <v>2403</v>
      </c>
      <c r="CR533" s="213" t="s">
        <v>2403</v>
      </c>
      <c r="CS533" s="213" t="s">
        <v>1620</v>
      </c>
      <c r="CT533" s="213" t="s">
        <v>1621</v>
      </c>
      <c r="CU533" s="213" t="s">
        <v>2206</v>
      </c>
      <c r="CV533" s="214" t="s">
        <v>2207</v>
      </c>
      <c r="CX533" s="212">
        <v>1</v>
      </c>
    </row>
    <row r="534" spans="91:102" ht="21" customHeight="1">
      <c r="CM534" s="210"/>
      <c r="CN534" s="213" t="s">
        <v>2404</v>
      </c>
      <c r="CO534" s="213" t="s">
        <v>896</v>
      </c>
      <c r="CP534" s="213" t="s">
        <v>879</v>
      </c>
      <c r="CQ534" s="213" t="s">
        <v>2405</v>
      </c>
      <c r="CR534" s="213" t="s">
        <v>2405</v>
      </c>
      <c r="CS534" s="213" t="s">
        <v>1620</v>
      </c>
      <c r="CT534" s="213" t="s">
        <v>1621</v>
      </c>
      <c r="CU534" s="213" t="s">
        <v>2206</v>
      </c>
      <c r="CV534" s="214" t="s">
        <v>2207</v>
      </c>
      <c r="CX534" s="212">
        <v>1</v>
      </c>
    </row>
    <row r="535" spans="91:102" ht="21" customHeight="1">
      <c r="CM535" s="210"/>
      <c r="CN535" s="213" t="s">
        <v>2406</v>
      </c>
      <c r="CO535" s="213" t="s">
        <v>896</v>
      </c>
      <c r="CP535" s="213" t="s">
        <v>879</v>
      </c>
      <c r="CQ535" s="213" t="s">
        <v>2407</v>
      </c>
      <c r="CR535" s="213" t="s">
        <v>2407</v>
      </c>
      <c r="CS535" s="213" t="s">
        <v>1620</v>
      </c>
      <c r="CT535" s="213" t="s">
        <v>1621</v>
      </c>
      <c r="CU535" s="213" t="s">
        <v>2206</v>
      </c>
      <c r="CV535" s="214" t="s">
        <v>2207</v>
      </c>
      <c r="CX535" s="212">
        <v>1</v>
      </c>
    </row>
    <row r="536" spans="91:102" ht="21" customHeight="1">
      <c r="CM536" s="210"/>
      <c r="CN536" s="213" t="s">
        <v>2408</v>
      </c>
      <c r="CO536" s="213" t="s">
        <v>896</v>
      </c>
      <c r="CP536" s="213" t="s">
        <v>879</v>
      </c>
      <c r="CQ536" s="213" t="s">
        <v>2409</v>
      </c>
      <c r="CR536" s="213" t="s">
        <v>2409</v>
      </c>
      <c r="CS536" s="213" t="s">
        <v>1620</v>
      </c>
      <c r="CT536" s="213" t="s">
        <v>1621</v>
      </c>
      <c r="CU536" s="213" t="s">
        <v>2206</v>
      </c>
      <c r="CV536" s="214" t="s">
        <v>2207</v>
      </c>
      <c r="CX536" s="212">
        <v>1</v>
      </c>
    </row>
    <row r="537" spans="91:102" ht="21" customHeight="1">
      <c r="CM537" s="210"/>
      <c r="CN537" s="213" t="s">
        <v>2410</v>
      </c>
      <c r="CO537" s="213" t="s">
        <v>896</v>
      </c>
      <c r="CP537" s="213" t="s">
        <v>879</v>
      </c>
      <c r="CQ537" s="213" t="s">
        <v>2411</v>
      </c>
      <c r="CR537" s="213" t="s">
        <v>2411</v>
      </c>
      <c r="CS537" s="213" t="s">
        <v>1620</v>
      </c>
      <c r="CT537" s="213" t="s">
        <v>1621</v>
      </c>
      <c r="CU537" s="213" t="s">
        <v>2206</v>
      </c>
      <c r="CV537" s="214" t="s">
        <v>2207</v>
      </c>
      <c r="CX537" s="212">
        <v>1</v>
      </c>
    </row>
    <row r="538" spans="91:102" ht="21" customHeight="1">
      <c r="CM538" s="210"/>
      <c r="CN538" s="213" t="s">
        <v>2412</v>
      </c>
      <c r="CO538" s="213" t="s">
        <v>896</v>
      </c>
      <c r="CP538" s="213" t="s">
        <v>879</v>
      </c>
      <c r="CQ538" s="213" t="s">
        <v>2413</v>
      </c>
      <c r="CR538" s="213" t="s">
        <v>2413</v>
      </c>
      <c r="CS538" s="213" t="s">
        <v>1620</v>
      </c>
      <c r="CT538" s="213" t="s">
        <v>1621</v>
      </c>
      <c r="CU538" s="213" t="s">
        <v>2206</v>
      </c>
      <c r="CV538" s="214" t="s">
        <v>2207</v>
      </c>
      <c r="CX538" s="212">
        <v>1</v>
      </c>
    </row>
    <row r="539" spans="91:102" ht="21" customHeight="1">
      <c r="CM539" s="210"/>
      <c r="CN539" s="213" t="s">
        <v>2414</v>
      </c>
      <c r="CO539" s="213" t="s">
        <v>896</v>
      </c>
      <c r="CP539" s="213" t="s">
        <v>879</v>
      </c>
      <c r="CQ539" s="213" t="s">
        <v>2415</v>
      </c>
      <c r="CR539" s="213" t="s">
        <v>2415</v>
      </c>
      <c r="CS539" s="213" t="s">
        <v>1620</v>
      </c>
      <c r="CT539" s="213" t="s">
        <v>1621</v>
      </c>
      <c r="CU539" s="213" t="s">
        <v>2206</v>
      </c>
      <c r="CV539" s="214" t="s">
        <v>2207</v>
      </c>
      <c r="CX539" s="212">
        <v>1</v>
      </c>
    </row>
    <row r="540" spans="91:102" ht="21" customHeight="1">
      <c r="CM540" s="210"/>
      <c r="CN540" s="213" t="s">
        <v>2416</v>
      </c>
      <c r="CO540" s="213" t="s">
        <v>896</v>
      </c>
      <c r="CP540" s="213" t="s">
        <v>879</v>
      </c>
      <c r="CQ540" s="213" t="s">
        <v>2417</v>
      </c>
      <c r="CR540" s="213" t="s">
        <v>2417</v>
      </c>
      <c r="CS540" s="213" t="s">
        <v>1620</v>
      </c>
      <c r="CT540" s="213" t="s">
        <v>1621</v>
      </c>
      <c r="CU540" s="213" t="s">
        <v>2206</v>
      </c>
      <c r="CV540" s="214" t="s">
        <v>2207</v>
      </c>
      <c r="CX540" s="212">
        <v>1</v>
      </c>
    </row>
    <row r="541" spans="91:102" ht="21" customHeight="1">
      <c r="CM541" s="210"/>
      <c r="CN541" s="213" t="s">
        <v>2418</v>
      </c>
      <c r="CO541" s="213" t="s">
        <v>896</v>
      </c>
      <c r="CP541" s="213" t="s">
        <v>879</v>
      </c>
      <c r="CQ541" s="213" t="s">
        <v>2419</v>
      </c>
      <c r="CR541" s="213" t="s">
        <v>2419</v>
      </c>
      <c r="CS541" s="213" t="s">
        <v>1620</v>
      </c>
      <c r="CT541" s="213" t="s">
        <v>1621</v>
      </c>
      <c r="CU541" s="213" t="s">
        <v>2206</v>
      </c>
      <c r="CV541" s="214" t="s">
        <v>2207</v>
      </c>
      <c r="CX541" s="212">
        <v>1</v>
      </c>
    </row>
    <row r="542" spans="91:102" ht="21" customHeight="1">
      <c r="CM542" s="210"/>
      <c r="CN542" s="213" t="s">
        <v>2420</v>
      </c>
      <c r="CO542" s="213" t="s">
        <v>896</v>
      </c>
      <c r="CP542" s="213" t="s">
        <v>879</v>
      </c>
      <c r="CQ542" s="213" t="s">
        <v>2421</v>
      </c>
      <c r="CR542" s="213" t="s">
        <v>2421</v>
      </c>
      <c r="CS542" s="213" t="s">
        <v>1620</v>
      </c>
      <c r="CT542" s="213" t="s">
        <v>1621</v>
      </c>
      <c r="CU542" s="213" t="s">
        <v>2206</v>
      </c>
      <c r="CV542" s="214" t="s">
        <v>2207</v>
      </c>
      <c r="CX542" s="212">
        <v>1</v>
      </c>
    </row>
    <row r="543" spans="91:102" ht="21" customHeight="1">
      <c r="CM543" s="210"/>
      <c r="CN543" s="213" t="s">
        <v>2422</v>
      </c>
      <c r="CO543" s="213" t="s">
        <v>896</v>
      </c>
      <c r="CP543" s="213" t="s">
        <v>879</v>
      </c>
      <c r="CQ543" s="213" t="s">
        <v>2423</v>
      </c>
      <c r="CR543" s="213" t="s">
        <v>2423</v>
      </c>
      <c r="CS543" s="213" t="s">
        <v>881</v>
      </c>
      <c r="CT543" s="213" t="s">
        <v>2289</v>
      </c>
      <c r="CU543" s="213" t="s">
        <v>883</v>
      </c>
      <c r="CV543" s="214" t="s">
        <v>884</v>
      </c>
      <c r="CX543" s="212">
        <v>1</v>
      </c>
    </row>
    <row r="544" spans="91:102" ht="21" customHeight="1">
      <c r="CM544" s="210"/>
      <c r="CN544" s="213" t="s">
        <v>2424</v>
      </c>
      <c r="CO544" s="213" t="s">
        <v>896</v>
      </c>
      <c r="CP544" s="213" t="s">
        <v>879</v>
      </c>
      <c r="CQ544" s="213" t="s">
        <v>2425</v>
      </c>
      <c r="CR544" s="213" t="s">
        <v>2425</v>
      </c>
      <c r="CS544" s="213" t="s">
        <v>881</v>
      </c>
      <c r="CT544" s="213" t="s">
        <v>2289</v>
      </c>
      <c r="CU544" s="213" t="s">
        <v>883</v>
      </c>
      <c r="CV544" s="214" t="s">
        <v>884</v>
      </c>
      <c r="CX544" s="212">
        <v>1</v>
      </c>
    </row>
    <row r="545" spans="91:102" ht="21" customHeight="1">
      <c r="CM545" s="210"/>
      <c r="CN545" s="213" t="s">
        <v>2426</v>
      </c>
      <c r="CO545" s="213" t="s">
        <v>896</v>
      </c>
      <c r="CP545" s="213" t="s">
        <v>879</v>
      </c>
      <c r="CQ545" s="213" t="s">
        <v>2427</v>
      </c>
      <c r="CR545" s="213" t="s">
        <v>2427</v>
      </c>
      <c r="CS545" s="213" t="s">
        <v>881</v>
      </c>
      <c r="CT545" s="213" t="s">
        <v>2289</v>
      </c>
      <c r="CU545" s="213" t="s">
        <v>883</v>
      </c>
      <c r="CV545" s="214" t="s">
        <v>884</v>
      </c>
      <c r="CX545" s="212">
        <v>1</v>
      </c>
    </row>
    <row r="546" spans="91:102" ht="21" customHeight="1">
      <c r="CM546" s="210"/>
      <c r="CN546" s="213" t="s">
        <v>2428</v>
      </c>
      <c r="CO546" s="213" t="s">
        <v>896</v>
      </c>
      <c r="CP546" s="213" t="s">
        <v>879</v>
      </c>
      <c r="CQ546" s="213" t="s">
        <v>2429</v>
      </c>
      <c r="CR546" s="213" t="s">
        <v>2429</v>
      </c>
      <c r="CS546" s="213" t="s">
        <v>1620</v>
      </c>
      <c r="CT546" s="213" t="s">
        <v>1621</v>
      </c>
      <c r="CU546" s="213" t="s">
        <v>2206</v>
      </c>
      <c r="CV546" s="214" t="s">
        <v>2207</v>
      </c>
      <c r="CX546" s="212">
        <v>1</v>
      </c>
    </row>
    <row r="547" spans="91:102" ht="21" customHeight="1">
      <c r="CM547" s="210"/>
      <c r="CN547" s="213" t="s">
        <v>2430</v>
      </c>
      <c r="CO547" s="213" t="s">
        <v>896</v>
      </c>
      <c r="CP547" s="213" t="s">
        <v>879</v>
      </c>
      <c r="CQ547" s="213" t="s">
        <v>2431</v>
      </c>
      <c r="CR547" s="213" t="s">
        <v>2431</v>
      </c>
      <c r="CS547" s="213" t="s">
        <v>1620</v>
      </c>
      <c r="CT547" s="213" t="s">
        <v>1621</v>
      </c>
      <c r="CU547" s="213" t="s">
        <v>2206</v>
      </c>
      <c r="CV547" s="214" t="s">
        <v>2207</v>
      </c>
      <c r="CX547" s="212">
        <v>1</v>
      </c>
    </row>
    <row r="548" spans="91:102" ht="21" customHeight="1">
      <c r="CM548" s="210"/>
      <c r="CN548" s="213" t="s">
        <v>2432</v>
      </c>
      <c r="CO548" s="213" t="s">
        <v>896</v>
      </c>
      <c r="CP548" s="213" t="s">
        <v>879</v>
      </c>
      <c r="CQ548" s="213" t="s">
        <v>2433</v>
      </c>
      <c r="CR548" s="213" t="s">
        <v>2433</v>
      </c>
      <c r="CS548" s="213" t="s">
        <v>1620</v>
      </c>
      <c r="CT548" s="213" t="s">
        <v>1621</v>
      </c>
      <c r="CU548" s="213" t="s">
        <v>2206</v>
      </c>
      <c r="CV548" s="214" t="s">
        <v>2207</v>
      </c>
      <c r="CX548" s="212">
        <v>1</v>
      </c>
    </row>
    <row r="549" spans="91:102" ht="21" customHeight="1">
      <c r="CM549" s="210"/>
      <c r="CN549" s="213" t="s">
        <v>2434</v>
      </c>
      <c r="CO549" s="213" t="s">
        <v>896</v>
      </c>
      <c r="CP549" s="213" t="s">
        <v>879</v>
      </c>
      <c r="CQ549" s="213" t="s">
        <v>2435</v>
      </c>
      <c r="CR549" s="213" t="s">
        <v>2435</v>
      </c>
      <c r="CS549" s="213" t="s">
        <v>1620</v>
      </c>
      <c r="CT549" s="213" t="s">
        <v>1621</v>
      </c>
      <c r="CU549" s="213" t="s">
        <v>2206</v>
      </c>
      <c r="CV549" s="214" t="s">
        <v>2207</v>
      </c>
      <c r="CX549" s="212">
        <v>1</v>
      </c>
    </row>
    <row r="550" spans="91:102" ht="21" customHeight="1">
      <c r="CM550" s="210"/>
      <c r="CN550" s="213" t="s">
        <v>2436</v>
      </c>
      <c r="CO550" s="213" t="s">
        <v>896</v>
      </c>
      <c r="CP550" s="213" t="s">
        <v>879</v>
      </c>
      <c r="CQ550" s="213" t="s">
        <v>2437</v>
      </c>
      <c r="CR550" s="213" t="s">
        <v>2437</v>
      </c>
      <c r="CS550" s="213" t="s">
        <v>1620</v>
      </c>
      <c r="CT550" s="213" t="s">
        <v>1621</v>
      </c>
      <c r="CU550" s="213" t="s">
        <v>2206</v>
      </c>
      <c r="CV550" s="214" t="s">
        <v>2207</v>
      </c>
      <c r="CX550" s="212">
        <v>1</v>
      </c>
    </row>
    <row r="551" spans="91:102" ht="21" customHeight="1">
      <c r="CM551" s="210"/>
      <c r="CN551" s="213" t="s">
        <v>2438</v>
      </c>
      <c r="CO551" s="213" t="s">
        <v>896</v>
      </c>
      <c r="CP551" s="213" t="s">
        <v>879</v>
      </c>
      <c r="CQ551" s="213" t="s">
        <v>2439</v>
      </c>
      <c r="CR551" s="213" t="s">
        <v>2439</v>
      </c>
      <c r="CS551" s="213" t="s">
        <v>881</v>
      </c>
      <c r="CT551" s="213" t="s">
        <v>2289</v>
      </c>
      <c r="CU551" s="213" t="s">
        <v>883</v>
      </c>
      <c r="CV551" s="214" t="s">
        <v>884</v>
      </c>
      <c r="CX551" s="212">
        <v>1</v>
      </c>
    </row>
    <row r="552" spans="91:102" ht="21" customHeight="1">
      <c r="CM552" s="210"/>
      <c r="CN552" s="213" t="s">
        <v>2440</v>
      </c>
      <c r="CO552" s="213" t="s">
        <v>896</v>
      </c>
      <c r="CP552" s="213" t="s">
        <v>879</v>
      </c>
      <c r="CQ552" s="213" t="s">
        <v>2441</v>
      </c>
      <c r="CR552" s="213" t="s">
        <v>2441</v>
      </c>
      <c r="CS552" s="213" t="s">
        <v>881</v>
      </c>
      <c r="CT552" s="213" t="s">
        <v>2289</v>
      </c>
      <c r="CU552" s="213" t="s">
        <v>883</v>
      </c>
      <c r="CV552" s="214" t="s">
        <v>884</v>
      </c>
      <c r="CX552" s="212">
        <v>1</v>
      </c>
    </row>
    <row r="553" spans="91:102" ht="21" customHeight="1">
      <c r="CM553" s="210"/>
      <c r="CN553" s="213" t="s">
        <v>2442</v>
      </c>
      <c r="CO553" s="213" t="s">
        <v>896</v>
      </c>
      <c r="CP553" s="213" t="s">
        <v>879</v>
      </c>
      <c r="CQ553" s="213" t="s">
        <v>2443</v>
      </c>
      <c r="CR553" s="213" t="s">
        <v>2443</v>
      </c>
      <c r="CS553" s="213" t="s">
        <v>1620</v>
      </c>
      <c r="CT553" s="213" t="s">
        <v>1621</v>
      </c>
      <c r="CU553" s="213" t="s">
        <v>2206</v>
      </c>
      <c r="CV553" s="214" t="s">
        <v>2207</v>
      </c>
      <c r="CX553" s="212">
        <v>1</v>
      </c>
    </row>
    <row r="554" spans="91:102" ht="21" customHeight="1">
      <c r="CM554" s="210"/>
      <c r="CN554" s="213" t="s">
        <v>2444</v>
      </c>
      <c r="CO554" s="213" t="s">
        <v>896</v>
      </c>
      <c r="CP554" s="213" t="s">
        <v>879</v>
      </c>
      <c r="CQ554" s="213" t="s">
        <v>2445</v>
      </c>
      <c r="CR554" s="213" t="s">
        <v>2445</v>
      </c>
      <c r="CS554" s="213" t="s">
        <v>1620</v>
      </c>
      <c r="CT554" s="213" t="s">
        <v>1621</v>
      </c>
      <c r="CU554" s="213" t="s">
        <v>2206</v>
      </c>
      <c r="CV554" s="214" t="s">
        <v>2207</v>
      </c>
      <c r="CX554" s="212">
        <v>1</v>
      </c>
    </row>
    <row r="555" spans="91:102" ht="21" customHeight="1">
      <c r="CM555" s="210"/>
      <c r="CN555" s="213" t="s">
        <v>2446</v>
      </c>
      <c r="CO555" s="213" t="s">
        <v>896</v>
      </c>
      <c r="CP555" s="213" t="s">
        <v>879</v>
      </c>
      <c r="CQ555" s="213" t="s">
        <v>2447</v>
      </c>
      <c r="CR555" s="213" t="s">
        <v>2447</v>
      </c>
      <c r="CS555" s="213" t="s">
        <v>1620</v>
      </c>
      <c r="CT555" s="213" t="s">
        <v>1621</v>
      </c>
      <c r="CU555" s="213" t="s">
        <v>2206</v>
      </c>
      <c r="CV555" s="214" t="s">
        <v>2207</v>
      </c>
      <c r="CX555" s="212">
        <v>1</v>
      </c>
    </row>
    <row r="556" spans="91:102" ht="21" customHeight="1">
      <c r="CM556" s="210"/>
      <c r="CN556" s="213" t="s">
        <v>2448</v>
      </c>
      <c r="CO556" s="213" t="s">
        <v>896</v>
      </c>
      <c r="CP556" s="213" t="s">
        <v>879</v>
      </c>
      <c r="CQ556" s="213" t="s">
        <v>2449</v>
      </c>
      <c r="CR556" s="213" t="s">
        <v>2449</v>
      </c>
      <c r="CS556" s="213" t="s">
        <v>1620</v>
      </c>
      <c r="CT556" s="213" t="s">
        <v>1621</v>
      </c>
      <c r="CU556" s="213" t="s">
        <v>2206</v>
      </c>
      <c r="CV556" s="214" t="s">
        <v>2207</v>
      </c>
      <c r="CX556" s="212">
        <v>1</v>
      </c>
    </row>
    <row r="557" spans="91:102" ht="21" customHeight="1">
      <c r="CM557" s="210"/>
      <c r="CN557" s="213" t="s">
        <v>2450</v>
      </c>
      <c r="CO557" s="213" t="s">
        <v>896</v>
      </c>
      <c r="CP557" s="213" t="s">
        <v>879</v>
      </c>
      <c r="CQ557" s="213" t="s">
        <v>2451</v>
      </c>
      <c r="CR557" s="213" t="s">
        <v>2451</v>
      </c>
      <c r="CS557" s="213" t="s">
        <v>1620</v>
      </c>
      <c r="CT557" s="213" t="s">
        <v>1621</v>
      </c>
      <c r="CU557" s="213" t="s">
        <v>2206</v>
      </c>
      <c r="CV557" s="214" t="s">
        <v>2207</v>
      </c>
      <c r="CX557" s="212">
        <v>1</v>
      </c>
    </row>
    <row r="558" spans="91:102" ht="21" customHeight="1">
      <c r="CM558" s="210"/>
      <c r="CN558" s="213" t="s">
        <v>2452</v>
      </c>
      <c r="CO558" s="213" t="s">
        <v>896</v>
      </c>
      <c r="CP558" s="213" t="s">
        <v>879</v>
      </c>
      <c r="CQ558" s="213" t="s">
        <v>2453</v>
      </c>
      <c r="CR558" s="213" t="s">
        <v>2453</v>
      </c>
      <c r="CS558" s="213" t="s">
        <v>1620</v>
      </c>
      <c r="CT558" s="213" t="s">
        <v>1621</v>
      </c>
      <c r="CU558" s="213" t="s">
        <v>2206</v>
      </c>
      <c r="CV558" s="214" t="s">
        <v>2207</v>
      </c>
      <c r="CX558" s="212">
        <v>1</v>
      </c>
    </row>
    <row r="559" spans="91:102" ht="21" customHeight="1">
      <c r="CM559" s="210"/>
      <c r="CN559" s="213" t="s">
        <v>2454</v>
      </c>
      <c r="CO559" s="213" t="s">
        <v>896</v>
      </c>
      <c r="CP559" s="213" t="s">
        <v>879</v>
      </c>
      <c r="CQ559" s="213" t="s">
        <v>2455</v>
      </c>
      <c r="CR559" s="213" t="s">
        <v>2455</v>
      </c>
      <c r="CS559" s="213" t="s">
        <v>1620</v>
      </c>
      <c r="CT559" s="213" t="s">
        <v>1621</v>
      </c>
      <c r="CU559" s="213" t="s">
        <v>2206</v>
      </c>
      <c r="CV559" s="214" t="s">
        <v>2207</v>
      </c>
      <c r="CX559" s="212">
        <v>1</v>
      </c>
    </row>
    <row r="560" spans="91:102" ht="21" customHeight="1">
      <c r="CM560" s="210"/>
      <c r="CN560" s="213" t="s">
        <v>2456</v>
      </c>
      <c r="CO560" s="213" t="s">
        <v>896</v>
      </c>
      <c r="CP560" s="213" t="s">
        <v>879</v>
      </c>
      <c r="CQ560" s="213" t="s">
        <v>2457</v>
      </c>
      <c r="CR560" s="213" t="s">
        <v>2457</v>
      </c>
      <c r="CS560" s="213" t="s">
        <v>1620</v>
      </c>
      <c r="CT560" s="213" t="s">
        <v>1621</v>
      </c>
      <c r="CU560" s="213" t="s">
        <v>2206</v>
      </c>
      <c r="CV560" s="214" t="s">
        <v>2207</v>
      </c>
      <c r="CX560" s="212">
        <v>1</v>
      </c>
    </row>
    <row r="561" spans="91:102" ht="21" customHeight="1">
      <c r="CM561" s="210"/>
      <c r="CN561" s="213" t="s">
        <v>2458</v>
      </c>
      <c r="CO561" s="213" t="s">
        <v>896</v>
      </c>
      <c r="CP561" s="213" t="s">
        <v>879</v>
      </c>
      <c r="CQ561" s="213" t="s">
        <v>2459</v>
      </c>
      <c r="CR561" s="213" t="s">
        <v>2459</v>
      </c>
      <c r="CS561" s="213" t="s">
        <v>1620</v>
      </c>
      <c r="CT561" s="213" t="s">
        <v>1621</v>
      </c>
      <c r="CU561" s="213" t="s">
        <v>2206</v>
      </c>
      <c r="CV561" s="214" t="s">
        <v>2207</v>
      </c>
      <c r="CX561" s="212">
        <v>1</v>
      </c>
    </row>
    <row r="562" spans="91:102" ht="21" customHeight="1">
      <c r="CM562" s="210"/>
      <c r="CN562" s="213" t="s">
        <v>2460</v>
      </c>
      <c r="CO562" s="213" t="s">
        <v>896</v>
      </c>
      <c r="CP562" s="213" t="s">
        <v>879</v>
      </c>
      <c r="CQ562" s="213" t="s">
        <v>2461</v>
      </c>
      <c r="CR562" s="213" t="s">
        <v>2461</v>
      </c>
      <c r="CS562" s="213" t="s">
        <v>1620</v>
      </c>
      <c r="CT562" s="213" t="s">
        <v>1621</v>
      </c>
      <c r="CU562" s="213" t="s">
        <v>2206</v>
      </c>
      <c r="CV562" s="214" t="s">
        <v>2207</v>
      </c>
      <c r="CX562" s="212">
        <v>1</v>
      </c>
    </row>
    <row r="563" spans="91:102" ht="21" customHeight="1">
      <c r="CM563" s="210"/>
      <c r="CN563" s="213" t="s">
        <v>2462</v>
      </c>
      <c r="CO563" s="213" t="s">
        <v>896</v>
      </c>
      <c r="CP563" s="213" t="s">
        <v>879</v>
      </c>
      <c r="CQ563" s="213" t="s">
        <v>2463</v>
      </c>
      <c r="CR563" s="213" t="s">
        <v>2463</v>
      </c>
      <c r="CS563" s="213" t="s">
        <v>1620</v>
      </c>
      <c r="CT563" s="213" t="s">
        <v>1621</v>
      </c>
      <c r="CU563" s="213" t="s">
        <v>2206</v>
      </c>
      <c r="CV563" s="214" t="s">
        <v>2207</v>
      </c>
      <c r="CX563" s="212">
        <v>1</v>
      </c>
    </row>
    <row r="564" spans="91:102" ht="21" customHeight="1">
      <c r="CM564" s="210"/>
      <c r="CN564" s="213" t="s">
        <v>2464</v>
      </c>
      <c r="CO564" s="213" t="s">
        <v>896</v>
      </c>
      <c r="CP564" s="213" t="s">
        <v>879</v>
      </c>
      <c r="CQ564" s="213" t="s">
        <v>2465</v>
      </c>
      <c r="CR564" s="213" t="s">
        <v>2465</v>
      </c>
      <c r="CS564" s="213" t="s">
        <v>1620</v>
      </c>
      <c r="CT564" s="213" t="s">
        <v>1621</v>
      </c>
      <c r="CU564" s="213" t="s">
        <v>2206</v>
      </c>
      <c r="CV564" s="214" t="s">
        <v>2207</v>
      </c>
      <c r="CX564" s="212">
        <v>1</v>
      </c>
    </row>
    <row r="565" spans="91:102" ht="21" customHeight="1">
      <c r="CM565" s="210"/>
      <c r="CN565" s="213" t="s">
        <v>2466</v>
      </c>
      <c r="CO565" s="213" t="s">
        <v>896</v>
      </c>
      <c r="CP565" s="213" t="s">
        <v>879</v>
      </c>
      <c r="CQ565" s="213" t="s">
        <v>2467</v>
      </c>
      <c r="CR565" s="213" t="s">
        <v>2467</v>
      </c>
      <c r="CS565" s="213" t="s">
        <v>1620</v>
      </c>
      <c r="CT565" s="213" t="s">
        <v>1621</v>
      </c>
      <c r="CU565" s="213" t="s">
        <v>2206</v>
      </c>
      <c r="CV565" s="214" t="s">
        <v>2207</v>
      </c>
      <c r="CX565" s="212">
        <v>1</v>
      </c>
    </row>
    <row r="566" spans="91:102" ht="21" customHeight="1">
      <c r="CM566" s="210"/>
      <c r="CN566" s="213" t="s">
        <v>2468</v>
      </c>
      <c r="CO566" s="213" t="s">
        <v>896</v>
      </c>
      <c r="CP566" s="213" t="s">
        <v>879</v>
      </c>
      <c r="CQ566" s="213" t="s">
        <v>2469</v>
      </c>
      <c r="CR566" s="213" t="s">
        <v>2469</v>
      </c>
      <c r="CS566" s="213" t="s">
        <v>1620</v>
      </c>
      <c r="CT566" s="213" t="s">
        <v>1621</v>
      </c>
      <c r="CU566" s="213" t="s">
        <v>2206</v>
      </c>
      <c r="CV566" s="214" t="s">
        <v>2207</v>
      </c>
      <c r="CX566" s="212">
        <v>1</v>
      </c>
    </row>
    <row r="567" spans="91:102" ht="21" customHeight="1">
      <c r="CM567" s="210"/>
      <c r="CN567" s="213" t="s">
        <v>2470</v>
      </c>
      <c r="CO567" s="213" t="s">
        <v>896</v>
      </c>
      <c r="CP567" s="213" t="s">
        <v>879</v>
      </c>
      <c r="CQ567" s="213" t="s">
        <v>2471</v>
      </c>
      <c r="CR567" s="213" t="s">
        <v>2471</v>
      </c>
      <c r="CS567" s="213" t="s">
        <v>1620</v>
      </c>
      <c r="CT567" s="213" t="s">
        <v>1621</v>
      </c>
      <c r="CU567" s="213" t="s">
        <v>2206</v>
      </c>
      <c r="CV567" s="214" t="s">
        <v>2207</v>
      </c>
      <c r="CX567" s="212">
        <v>1</v>
      </c>
    </row>
    <row r="568" spans="91:102" ht="21" customHeight="1">
      <c r="CM568" s="210"/>
      <c r="CN568" s="213" t="s">
        <v>2472</v>
      </c>
      <c r="CO568" s="213" t="s">
        <v>896</v>
      </c>
      <c r="CP568" s="213" t="s">
        <v>879</v>
      </c>
      <c r="CQ568" s="213" t="s">
        <v>2473</v>
      </c>
      <c r="CR568" s="213" t="s">
        <v>2473</v>
      </c>
      <c r="CS568" s="213" t="s">
        <v>1620</v>
      </c>
      <c r="CT568" s="213" t="s">
        <v>1621</v>
      </c>
      <c r="CU568" s="213" t="s">
        <v>2206</v>
      </c>
      <c r="CV568" s="214" t="s">
        <v>2207</v>
      </c>
      <c r="CX568" s="212">
        <v>1</v>
      </c>
    </row>
    <row r="569" spans="91:102" ht="21" customHeight="1">
      <c r="CM569" s="210"/>
      <c r="CN569" s="213" t="s">
        <v>2474</v>
      </c>
      <c r="CO569" s="213" t="s">
        <v>896</v>
      </c>
      <c r="CP569" s="213" t="s">
        <v>879</v>
      </c>
      <c r="CQ569" s="213" t="s">
        <v>2475</v>
      </c>
      <c r="CR569" s="213" t="s">
        <v>2475</v>
      </c>
      <c r="CS569" s="213" t="s">
        <v>1620</v>
      </c>
      <c r="CT569" s="213" t="s">
        <v>1621</v>
      </c>
      <c r="CU569" s="213" t="s">
        <v>2206</v>
      </c>
      <c r="CV569" s="214" t="s">
        <v>2207</v>
      </c>
      <c r="CX569" s="212">
        <v>1</v>
      </c>
    </row>
    <row r="570" spans="91:102" ht="21" customHeight="1">
      <c r="CM570" s="210"/>
      <c r="CN570" s="213" t="s">
        <v>2476</v>
      </c>
      <c r="CO570" s="213" t="s">
        <v>896</v>
      </c>
      <c r="CP570" s="213" t="s">
        <v>879</v>
      </c>
      <c r="CQ570" s="213" t="s">
        <v>2477</v>
      </c>
      <c r="CR570" s="213" t="s">
        <v>2477</v>
      </c>
      <c r="CS570" s="213" t="s">
        <v>1620</v>
      </c>
      <c r="CT570" s="213" t="s">
        <v>1621</v>
      </c>
      <c r="CU570" s="213" t="s">
        <v>2206</v>
      </c>
      <c r="CV570" s="214" t="s">
        <v>2207</v>
      </c>
      <c r="CX570" s="212">
        <v>1</v>
      </c>
    </row>
    <row r="571" spans="91:102" ht="21" customHeight="1">
      <c r="CM571" s="210"/>
      <c r="CN571" s="213" t="s">
        <v>2478</v>
      </c>
      <c r="CO571" s="213" t="s">
        <v>896</v>
      </c>
      <c r="CP571" s="213" t="s">
        <v>879</v>
      </c>
      <c r="CQ571" s="213" t="s">
        <v>2479</v>
      </c>
      <c r="CR571" s="213" t="s">
        <v>2479</v>
      </c>
      <c r="CS571" s="213" t="s">
        <v>1620</v>
      </c>
      <c r="CT571" s="213" t="s">
        <v>1621</v>
      </c>
      <c r="CU571" s="213" t="s">
        <v>2206</v>
      </c>
      <c r="CV571" s="214" t="s">
        <v>2207</v>
      </c>
      <c r="CX571" s="212">
        <v>1</v>
      </c>
    </row>
    <row r="572" spans="91:102" ht="21" customHeight="1">
      <c r="CM572" s="210"/>
      <c r="CN572" s="213" t="s">
        <v>2480</v>
      </c>
      <c r="CO572" s="213" t="s">
        <v>896</v>
      </c>
      <c r="CP572" s="213" t="s">
        <v>879</v>
      </c>
      <c r="CQ572" s="213" t="s">
        <v>2481</v>
      </c>
      <c r="CR572" s="213" t="s">
        <v>2481</v>
      </c>
      <c r="CS572" s="213" t="s">
        <v>1620</v>
      </c>
      <c r="CT572" s="213" t="s">
        <v>1621</v>
      </c>
      <c r="CU572" s="213" t="s">
        <v>2206</v>
      </c>
      <c r="CV572" s="214" t="s">
        <v>2207</v>
      </c>
      <c r="CX572" s="212">
        <v>1</v>
      </c>
    </row>
    <row r="573" spans="91:102" ht="21" customHeight="1">
      <c r="CM573" s="210"/>
      <c r="CN573" s="213" t="s">
        <v>2482</v>
      </c>
      <c r="CO573" s="213" t="s">
        <v>896</v>
      </c>
      <c r="CP573" s="213" t="s">
        <v>879</v>
      </c>
      <c r="CQ573" s="213" t="s">
        <v>2483</v>
      </c>
      <c r="CR573" s="213" t="s">
        <v>2483</v>
      </c>
      <c r="CS573" s="213" t="s">
        <v>1620</v>
      </c>
      <c r="CT573" s="213" t="s">
        <v>1621</v>
      </c>
      <c r="CU573" s="213" t="s">
        <v>2206</v>
      </c>
      <c r="CV573" s="214" t="s">
        <v>2207</v>
      </c>
      <c r="CX573" s="212">
        <v>1</v>
      </c>
    </row>
    <row r="574" spans="91:102" ht="21" customHeight="1">
      <c r="CM574" s="210"/>
      <c r="CN574" s="213" t="s">
        <v>2484</v>
      </c>
      <c r="CO574" s="213" t="s">
        <v>896</v>
      </c>
      <c r="CP574" s="213" t="s">
        <v>879</v>
      </c>
      <c r="CQ574" s="213" t="s">
        <v>2485</v>
      </c>
      <c r="CR574" s="213" t="s">
        <v>2485</v>
      </c>
      <c r="CS574" s="213" t="s">
        <v>1620</v>
      </c>
      <c r="CT574" s="213" t="s">
        <v>1621</v>
      </c>
      <c r="CU574" s="213" t="s">
        <v>2206</v>
      </c>
      <c r="CV574" s="214" t="s">
        <v>2207</v>
      </c>
      <c r="CX574" s="212">
        <v>1</v>
      </c>
    </row>
    <row r="575" spans="91:102" ht="21" customHeight="1">
      <c r="CM575" s="210"/>
      <c r="CN575" s="213" t="s">
        <v>2486</v>
      </c>
      <c r="CO575" s="213" t="s">
        <v>896</v>
      </c>
      <c r="CP575" s="213" t="s">
        <v>879</v>
      </c>
      <c r="CQ575" s="213" t="s">
        <v>2487</v>
      </c>
      <c r="CR575" s="213" t="s">
        <v>2487</v>
      </c>
      <c r="CS575" s="213" t="s">
        <v>1620</v>
      </c>
      <c r="CT575" s="213" t="s">
        <v>1621</v>
      </c>
      <c r="CU575" s="213" t="s">
        <v>2206</v>
      </c>
      <c r="CV575" s="214" t="s">
        <v>2207</v>
      </c>
      <c r="CX575" s="212">
        <v>1</v>
      </c>
    </row>
    <row r="576" spans="91:102" ht="21" customHeight="1">
      <c r="CM576" s="210"/>
      <c r="CN576" s="213" t="s">
        <v>2488</v>
      </c>
      <c r="CO576" s="213" t="s">
        <v>896</v>
      </c>
      <c r="CP576" s="213" t="s">
        <v>879</v>
      </c>
      <c r="CQ576" s="213" t="s">
        <v>2489</v>
      </c>
      <c r="CR576" s="213" t="s">
        <v>2489</v>
      </c>
      <c r="CS576" s="213" t="s">
        <v>1620</v>
      </c>
      <c r="CT576" s="213" t="s">
        <v>1621</v>
      </c>
      <c r="CU576" s="213" t="s">
        <v>2206</v>
      </c>
      <c r="CV576" s="214" t="s">
        <v>2207</v>
      </c>
      <c r="CX576" s="212">
        <v>1</v>
      </c>
    </row>
    <row r="577" spans="91:102" ht="21" customHeight="1">
      <c r="CM577" s="210"/>
      <c r="CN577" s="213" t="s">
        <v>2490</v>
      </c>
      <c r="CO577" s="213" t="s">
        <v>896</v>
      </c>
      <c r="CP577" s="213" t="s">
        <v>879</v>
      </c>
      <c r="CQ577" s="213" t="s">
        <v>2491</v>
      </c>
      <c r="CR577" s="213" t="s">
        <v>2491</v>
      </c>
      <c r="CS577" s="213" t="s">
        <v>1620</v>
      </c>
      <c r="CT577" s="213" t="s">
        <v>1621</v>
      </c>
      <c r="CU577" s="213" t="s">
        <v>2206</v>
      </c>
      <c r="CV577" s="214" t="s">
        <v>2207</v>
      </c>
      <c r="CX577" s="212">
        <v>1</v>
      </c>
    </row>
    <row r="578" spans="91:102" ht="21" customHeight="1">
      <c r="CM578" s="210"/>
      <c r="CN578" s="213" t="s">
        <v>2492</v>
      </c>
      <c r="CO578" s="213" t="s">
        <v>896</v>
      </c>
      <c r="CP578" s="213" t="s">
        <v>879</v>
      </c>
      <c r="CQ578" s="213" t="s">
        <v>2493</v>
      </c>
      <c r="CR578" s="213" t="s">
        <v>2493</v>
      </c>
      <c r="CS578" s="213" t="s">
        <v>1620</v>
      </c>
      <c r="CT578" s="213" t="s">
        <v>1621</v>
      </c>
      <c r="CU578" s="213" t="s">
        <v>2206</v>
      </c>
      <c r="CV578" s="214" t="s">
        <v>2207</v>
      </c>
      <c r="CX578" s="212">
        <v>1</v>
      </c>
    </row>
    <row r="579" spans="91:102" ht="21" customHeight="1">
      <c r="CM579" s="210"/>
      <c r="CN579" s="213" t="s">
        <v>2494</v>
      </c>
      <c r="CO579" s="213" t="s">
        <v>896</v>
      </c>
      <c r="CP579" s="213" t="s">
        <v>879</v>
      </c>
      <c r="CQ579" s="213" t="s">
        <v>2495</v>
      </c>
      <c r="CR579" s="213" t="s">
        <v>2495</v>
      </c>
      <c r="CS579" s="213" t="s">
        <v>1620</v>
      </c>
      <c r="CT579" s="213" t="s">
        <v>1621</v>
      </c>
      <c r="CU579" s="213" t="s">
        <v>2206</v>
      </c>
      <c r="CV579" s="214" t="s">
        <v>2207</v>
      </c>
      <c r="CX579" s="212">
        <v>1</v>
      </c>
    </row>
    <row r="580" spans="91:102" ht="21" customHeight="1">
      <c r="CM580" s="210"/>
      <c r="CN580" s="213" t="s">
        <v>2496</v>
      </c>
      <c r="CO580" s="213" t="s">
        <v>896</v>
      </c>
      <c r="CP580" s="213" t="s">
        <v>879</v>
      </c>
      <c r="CQ580" s="213" t="s">
        <v>2497</v>
      </c>
      <c r="CR580" s="213" t="s">
        <v>2497</v>
      </c>
      <c r="CS580" s="213" t="s">
        <v>1620</v>
      </c>
      <c r="CT580" s="213" t="s">
        <v>1621</v>
      </c>
      <c r="CU580" s="213" t="s">
        <v>2206</v>
      </c>
      <c r="CV580" s="214" t="s">
        <v>2207</v>
      </c>
      <c r="CX580" s="212">
        <v>1</v>
      </c>
    </row>
    <row r="581" spans="91:102" ht="21" customHeight="1">
      <c r="CM581" s="210"/>
      <c r="CN581" s="213" t="s">
        <v>2498</v>
      </c>
      <c r="CO581" s="213" t="s">
        <v>896</v>
      </c>
      <c r="CP581" s="213" t="s">
        <v>879</v>
      </c>
      <c r="CQ581" s="213" t="s">
        <v>2499</v>
      </c>
      <c r="CR581" s="213" t="s">
        <v>2499</v>
      </c>
      <c r="CS581" s="213" t="s">
        <v>1620</v>
      </c>
      <c r="CT581" s="213" t="s">
        <v>1621</v>
      </c>
      <c r="CU581" s="213" t="s">
        <v>2206</v>
      </c>
      <c r="CV581" s="214" t="s">
        <v>2207</v>
      </c>
      <c r="CX581" s="212">
        <v>1</v>
      </c>
    </row>
    <row r="582" spans="91:102" ht="21" customHeight="1">
      <c r="CM582" s="210"/>
      <c r="CN582" s="213" t="s">
        <v>2500</v>
      </c>
      <c r="CO582" s="213" t="s">
        <v>896</v>
      </c>
      <c r="CP582" s="213" t="s">
        <v>879</v>
      </c>
      <c r="CQ582" s="213" t="s">
        <v>2501</v>
      </c>
      <c r="CR582" s="213" t="s">
        <v>2501</v>
      </c>
      <c r="CS582" s="213" t="s">
        <v>1620</v>
      </c>
      <c r="CT582" s="213" t="s">
        <v>1621</v>
      </c>
      <c r="CU582" s="213" t="s">
        <v>2206</v>
      </c>
      <c r="CV582" s="214" t="s">
        <v>2207</v>
      </c>
      <c r="CX582" s="212">
        <v>1</v>
      </c>
    </row>
    <row r="583" spans="91:102" ht="21" customHeight="1">
      <c r="CM583" s="210"/>
      <c r="CN583" s="213" t="s">
        <v>2502</v>
      </c>
      <c r="CO583" s="213" t="s">
        <v>896</v>
      </c>
      <c r="CP583" s="213" t="s">
        <v>879</v>
      </c>
      <c r="CQ583" s="213" t="s">
        <v>2503</v>
      </c>
      <c r="CR583" s="213" t="s">
        <v>2503</v>
      </c>
      <c r="CS583" s="213" t="s">
        <v>1620</v>
      </c>
      <c r="CT583" s="213" t="s">
        <v>1621</v>
      </c>
      <c r="CU583" s="213" t="s">
        <v>2206</v>
      </c>
      <c r="CV583" s="214" t="s">
        <v>2207</v>
      </c>
      <c r="CX583" s="212">
        <v>1</v>
      </c>
    </row>
    <row r="584" spans="91:102" ht="21" customHeight="1">
      <c r="CM584" s="210"/>
      <c r="CN584" s="213" t="s">
        <v>2504</v>
      </c>
      <c r="CO584" s="213" t="s">
        <v>896</v>
      </c>
      <c r="CP584" s="213" t="s">
        <v>879</v>
      </c>
      <c r="CQ584" s="213" t="s">
        <v>2505</v>
      </c>
      <c r="CR584" s="213" t="s">
        <v>2505</v>
      </c>
      <c r="CS584" s="213" t="s">
        <v>1620</v>
      </c>
      <c r="CT584" s="213" t="s">
        <v>1621</v>
      </c>
      <c r="CU584" s="213" t="s">
        <v>2206</v>
      </c>
      <c r="CV584" s="214" t="s">
        <v>2207</v>
      </c>
      <c r="CX584" s="212">
        <v>1</v>
      </c>
    </row>
    <row r="585" spans="91:102" ht="21" customHeight="1">
      <c r="CM585" s="210"/>
      <c r="CN585" s="213" t="s">
        <v>2506</v>
      </c>
      <c r="CO585" s="213" t="s">
        <v>896</v>
      </c>
      <c r="CP585" s="213" t="s">
        <v>879</v>
      </c>
      <c r="CQ585" s="213" t="s">
        <v>2507</v>
      </c>
      <c r="CR585" s="213" t="s">
        <v>2507</v>
      </c>
      <c r="CS585" s="213" t="s">
        <v>1620</v>
      </c>
      <c r="CT585" s="213" t="s">
        <v>1621</v>
      </c>
      <c r="CU585" s="213" t="s">
        <v>2206</v>
      </c>
      <c r="CV585" s="214" t="s">
        <v>2207</v>
      </c>
      <c r="CX585" s="212">
        <v>1</v>
      </c>
    </row>
    <row r="586" spans="91:102" ht="21" customHeight="1">
      <c r="CM586" s="210"/>
      <c r="CN586" s="213" t="s">
        <v>2508</v>
      </c>
      <c r="CO586" s="213" t="s">
        <v>896</v>
      </c>
      <c r="CP586" s="213" t="s">
        <v>879</v>
      </c>
      <c r="CQ586" s="213" t="s">
        <v>2509</v>
      </c>
      <c r="CR586" s="213" t="s">
        <v>2509</v>
      </c>
      <c r="CS586" s="213" t="s">
        <v>1620</v>
      </c>
      <c r="CT586" s="213" t="s">
        <v>1621</v>
      </c>
      <c r="CU586" s="213" t="s">
        <v>2206</v>
      </c>
      <c r="CV586" s="214" t="s">
        <v>2207</v>
      </c>
      <c r="CX586" s="212">
        <v>1</v>
      </c>
    </row>
    <row r="587" spans="91:102" ht="21" customHeight="1">
      <c r="CM587" s="210"/>
      <c r="CN587" s="213" t="s">
        <v>2510</v>
      </c>
      <c r="CO587" s="213" t="s">
        <v>896</v>
      </c>
      <c r="CP587" s="213" t="s">
        <v>879</v>
      </c>
      <c r="CQ587" s="213" t="s">
        <v>2511</v>
      </c>
      <c r="CR587" s="213" t="s">
        <v>2511</v>
      </c>
      <c r="CS587" s="213" t="s">
        <v>1620</v>
      </c>
      <c r="CT587" s="213" t="s">
        <v>1621</v>
      </c>
      <c r="CU587" s="213" t="s">
        <v>2206</v>
      </c>
      <c r="CV587" s="214" t="s">
        <v>2207</v>
      </c>
      <c r="CX587" s="212">
        <v>1</v>
      </c>
    </row>
    <row r="588" spans="91:102" ht="21" customHeight="1">
      <c r="CM588" s="210"/>
      <c r="CN588" s="213" t="s">
        <v>2512</v>
      </c>
      <c r="CO588" s="213" t="s">
        <v>896</v>
      </c>
      <c r="CP588" s="213" t="s">
        <v>879</v>
      </c>
      <c r="CQ588" s="213" t="s">
        <v>2513</v>
      </c>
      <c r="CR588" s="213" t="s">
        <v>2513</v>
      </c>
      <c r="CS588" s="213" t="s">
        <v>1620</v>
      </c>
      <c r="CT588" s="213" t="s">
        <v>1621</v>
      </c>
      <c r="CU588" s="213" t="s">
        <v>2206</v>
      </c>
      <c r="CV588" s="214" t="s">
        <v>2207</v>
      </c>
      <c r="CX588" s="212">
        <v>1</v>
      </c>
    </row>
    <row r="589" spans="91:102" ht="21" customHeight="1">
      <c r="CM589" s="210"/>
      <c r="CN589" s="213" t="s">
        <v>2514</v>
      </c>
      <c r="CO589" s="213" t="s">
        <v>896</v>
      </c>
      <c r="CP589" s="213" t="s">
        <v>879</v>
      </c>
      <c r="CQ589" s="213" t="s">
        <v>2515</v>
      </c>
      <c r="CR589" s="213" t="s">
        <v>2515</v>
      </c>
      <c r="CS589" s="213" t="s">
        <v>1620</v>
      </c>
      <c r="CT589" s="213" t="s">
        <v>1621</v>
      </c>
      <c r="CU589" s="213" t="s">
        <v>2206</v>
      </c>
      <c r="CV589" s="214" t="s">
        <v>2207</v>
      </c>
      <c r="CX589" s="212">
        <v>1</v>
      </c>
    </row>
    <row r="590" spans="91:102" ht="21" customHeight="1">
      <c r="CM590" s="210"/>
      <c r="CN590" s="213" t="s">
        <v>2516</v>
      </c>
      <c r="CO590" s="213" t="s">
        <v>896</v>
      </c>
      <c r="CP590" s="213" t="s">
        <v>879</v>
      </c>
      <c r="CQ590" s="213" t="s">
        <v>2517</v>
      </c>
      <c r="CR590" s="213" t="s">
        <v>2517</v>
      </c>
      <c r="CS590" s="213" t="s">
        <v>1620</v>
      </c>
      <c r="CT590" s="213" t="s">
        <v>1621</v>
      </c>
      <c r="CU590" s="213" t="s">
        <v>2206</v>
      </c>
      <c r="CV590" s="214" t="s">
        <v>2207</v>
      </c>
      <c r="CX590" s="212">
        <v>1</v>
      </c>
    </row>
    <row r="591" spans="91:102" ht="21" customHeight="1">
      <c r="CM591" s="210"/>
      <c r="CN591" s="213" t="s">
        <v>2518</v>
      </c>
      <c r="CO591" s="213" t="s">
        <v>896</v>
      </c>
      <c r="CP591" s="213" t="s">
        <v>879</v>
      </c>
      <c r="CQ591" s="213" t="s">
        <v>2519</v>
      </c>
      <c r="CR591" s="213" t="s">
        <v>2519</v>
      </c>
      <c r="CS591" s="213" t="s">
        <v>1620</v>
      </c>
      <c r="CT591" s="213" t="s">
        <v>1621</v>
      </c>
      <c r="CU591" s="213" t="s">
        <v>2206</v>
      </c>
      <c r="CV591" s="214" t="s">
        <v>2207</v>
      </c>
      <c r="CX591" s="212">
        <v>1</v>
      </c>
    </row>
    <row r="592" spans="91:102" ht="21" customHeight="1">
      <c r="CM592" s="210"/>
      <c r="CN592" s="213" t="s">
        <v>2520</v>
      </c>
      <c r="CO592" s="213" t="s">
        <v>896</v>
      </c>
      <c r="CP592" s="213" t="s">
        <v>879</v>
      </c>
      <c r="CQ592" s="213" t="s">
        <v>2521</v>
      </c>
      <c r="CR592" s="213" t="s">
        <v>2521</v>
      </c>
      <c r="CS592" s="213" t="s">
        <v>1620</v>
      </c>
      <c r="CT592" s="213" t="s">
        <v>1621</v>
      </c>
      <c r="CU592" s="213" t="s">
        <v>2206</v>
      </c>
      <c r="CV592" s="214" t="s">
        <v>2207</v>
      </c>
      <c r="CX592" s="212">
        <v>1</v>
      </c>
    </row>
    <row r="593" spans="91:102" ht="21" customHeight="1">
      <c r="CM593" s="210"/>
      <c r="CN593" s="213" t="s">
        <v>2522</v>
      </c>
      <c r="CO593" s="213" t="s">
        <v>896</v>
      </c>
      <c r="CP593" s="213" t="s">
        <v>879</v>
      </c>
      <c r="CQ593" s="213" t="s">
        <v>2523</v>
      </c>
      <c r="CR593" s="213" t="s">
        <v>2523</v>
      </c>
      <c r="CS593" s="213" t="s">
        <v>881</v>
      </c>
      <c r="CT593" s="213" t="s">
        <v>2289</v>
      </c>
      <c r="CU593" s="213" t="s">
        <v>883</v>
      </c>
      <c r="CV593" s="214" t="s">
        <v>884</v>
      </c>
      <c r="CX593" s="212">
        <v>1</v>
      </c>
    </row>
    <row r="594" spans="91:102" ht="21" customHeight="1">
      <c r="CM594" s="210"/>
      <c r="CN594" s="213" t="s">
        <v>2524</v>
      </c>
      <c r="CO594" s="213" t="s">
        <v>896</v>
      </c>
      <c r="CP594" s="213" t="s">
        <v>879</v>
      </c>
      <c r="CQ594" s="213" t="s">
        <v>2525</v>
      </c>
      <c r="CR594" s="213" t="s">
        <v>2525</v>
      </c>
      <c r="CS594" s="213" t="s">
        <v>1620</v>
      </c>
      <c r="CT594" s="213" t="s">
        <v>1621</v>
      </c>
      <c r="CU594" s="213" t="s">
        <v>2206</v>
      </c>
      <c r="CV594" s="214" t="s">
        <v>2207</v>
      </c>
      <c r="CX594" s="212">
        <v>1</v>
      </c>
    </row>
    <row r="595" spans="91:102" ht="21" customHeight="1">
      <c r="CM595" s="210"/>
      <c r="CN595" s="213" t="s">
        <v>2526</v>
      </c>
      <c r="CO595" s="213" t="s">
        <v>896</v>
      </c>
      <c r="CP595" s="213" t="s">
        <v>879</v>
      </c>
      <c r="CQ595" s="213" t="s">
        <v>2527</v>
      </c>
      <c r="CR595" s="213" t="s">
        <v>2527</v>
      </c>
      <c r="CS595" s="213" t="s">
        <v>1620</v>
      </c>
      <c r="CT595" s="213" t="s">
        <v>1621</v>
      </c>
      <c r="CU595" s="213" t="s">
        <v>2206</v>
      </c>
      <c r="CV595" s="214" t="s">
        <v>2207</v>
      </c>
      <c r="CX595" s="212">
        <v>1</v>
      </c>
    </row>
    <row r="596" spans="91:102" ht="21" customHeight="1">
      <c r="CM596" s="210"/>
      <c r="CN596" s="213" t="s">
        <v>2528</v>
      </c>
      <c r="CO596" s="213" t="s">
        <v>896</v>
      </c>
      <c r="CP596" s="213" t="s">
        <v>879</v>
      </c>
      <c r="CQ596" s="213" t="s">
        <v>2529</v>
      </c>
      <c r="CR596" s="213" t="s">
        <v>2529</v>
      </c>
      <c r="CS596" s="213" t="s">
        <v>1620</v>
      </c>
      <c r="CT596" s="213" t="s">
        <v>1621</v>
      </c>
      <c r="CU596" s="213" t="s">
        <v>2206</v>
      </c>
      <c r="CV596" s="214" t="s">
        <v>2207</v>
      </c>
      <c r="CX596" s="212">
        <v>1</v>
      </c>
    </row>
    <row r="597" spans="91:102" ht="21" customHeight="1">
      <c r="CM597" s="210"/>
      <c r="CN597" s="213" t="s">
        <v>2530</v>
      </c>
      <c r="CO597" s="213" t="s">
        <v>896</v>
      </c>
      <c r="CP597" s="213" t="s">
        <v>879</v>
      </c>
      <c r="CQ597" s="213" t="s">
        <v>2531</v>
      </c>
      <c r="CR597" s="213" t="s">
        <v>2531</v>
      </c>
      <c r="CS597" s="213" t="s">
        <v>1620</v>
      </c>
      <c r="CT597" s="213" t="s">
        <v>1621</v>
      </c>
      <c r="CU597" s="213" t="s">
        <v>2206</v>
      </c>
      <c r="CV597" s="214" t="s">
        <v>2207</v>
      </c>
      <c r="CX597" s="212">
        <v>1</v>
      </c>
    </row>
    <row r="598" spans="91:102" ht="21" customHeight="1">
      <c r="CM598" s="210"/>
      <c r="CN598" s="213" t="s">
        <v>2532</v>
      </c>
      <c r="CO598" s="213" t="s">
        <v>896</v>
      </c>
      <c r="CP598" s="213" t="s">
        <v>879</v>
      </c>
      <c r="CQ598" s="213" t="s">
        <v>2533</v>
      </c>
      <c r="CR598" s="213" t="s">
        <v>2533</v>
      </c>
      <c r="CS598" s="213" t="s">
        <v>1620</v>
      </c>
      <c r="CT598" s="213" t="s">
        <v>1621</v>
      </c>
      <c r="CU598" s="213" t="s">
        <v>2206</v>
      </c>
      <c r="CV598" s="214" t="s">
        <v>2207</v>
      </c>
      <c r="CX598" s="212">
        <v>1</v>
      </c>
    </row>
    <row r="599" spans="91:102" ht="21" customHeight="1">
      <c r="CM599" s="210"/>
      <c r="CN599" s="213" t="s">
        <v>2534</v>
      </c>
      <c r="CO599" s="213" t="s">
        <v>896</v>
      </c>
      <c r="CP599" s="213" t="s">
        <v>879</v>
      </c>
      <c r="CQ599" s="213" t="s">
        <v>2535</v>
      </c>
      <c r="CR599" s="213" t="s">
        <v>2535</v>
      </c>
      <c r="CS599" s="213" t="s">
        <v>1620</v>
      </c>
      <c r="CT599" s="213" t="s">
        <v>1621</v>
      </c>
      <c r="CU599" s="213" t="s">
        <v>2206</v>
      </c>
      <c r="CV599" s="214" t="s">
        <v>2207</v>
      </c>
      <c r="CX599" s="212">
        <v>1</v>
      </c>
    </row>
    <row r="600" spans="91:102" ht="21" customHeight="1">
      <c r="CM600" s="210"/>
      <c r="CN600" s="213" t="s">
        <v>2536</v>
      </c>
      <c r="CO600" s="213" t="s">
        <v>896</v>
      </c>
      <c r="CP600" s="213" t="s">
        <v>879</v>
      </c>
      <c r="CQ600" s="213" t="s">
        <v>2537</v>
      </c>
      <c r="CR600" s="213" t="s">
        <v>2537</v>
      </c>
      <c r="CS600" s="213" t="s">
        <v>1620</v>
      </c>
      <c r="CT600" s="213" t="s">
        <v>1621</v>
      </c>
      <c r="CU600" s="213" t="s">
        <v>2206</v>
      </c>
      <c r="CV600" s="214" t="s">
        <v>2207</v>
      </c>
      <c r="CX600" s="212">
        <v>1</v>
      </c>
    </row>
    <row r="601" spans="91:102" ht="21" customHeight="1">
      <c r="CM601" s="210"/>
      <c r="CN601" s="213" t="s">
        <v>2538</v>
      </c>
      <c r="CO601" s="213" t="s">
        <v>896</v>
      </c>
      <c r="CP601" s="213" t="s">
        <v>879</v>
      </c>
      <c r="CQ601" s="213" t="s">
        <v>2539</v>
      </c>
      <c r="CR601" s="213" t="s">
        <v>2539</v>
      </c>
      <c r="CS601" s="213" t="s">
        <v>1620</v>
      </c>
      <c r="CT601" s="213" t="s">
        <v>1621</v>
      </c>
      <c r="CU601" s="213" t="s">
        <v>2206</v>
      </c>
      <c r="CV601" s="214" t="s">
        <v>2207</v>
      </c>
      <c r="CX601" s="212">
        <v>1</v>
      </c>
    </row>
    <row r="602" spans="91:102" ht="21" customHeight="1">
      <c r="CM602" s="210"/>
      <c r="CN602" s="213" t="s">
        <v>2540</v>
      </c>
      <c r="CO602" s="213" t="s">
        <v>896</v>
      </c>
      <c r="CP602" s="213" t="s">
        <v>879</v>
      </c>
      <c r="CQ602" s="213" t="s">
        <v>2541</v>
      </c>
      <c r="CR602" s="213" t="s">
        <v>2541</v>
      </c>
      <c r="CS602" s="213" t="s">
        <v>1620</v>
      </c>
      <c r="CT602" s="213" t="s">
        <v>1621</v>
      </c>
      <c r="CU602" s="213" t="s">
        <v>2206</v>
      </c>
      <c r="CV602" s="214" t="s">
        <v>2207</v>
      </c>
      <c r="CX602" s="212">
        <v>1</v>
      </c>
    </row>
    <row r="603" spans="91:102" ht="21" customHeight="1">
      <c r="CM603" s="210"/>
      <c r="CN603" s="213" t="s">
        <v>2542</v>
      </c>
      <c r="CO603" s="213" t="s">
        <v>896</v>
      </c>
      <c r="CP603" s="213" t="s">
        <v>879</v>
      </c>
      <c r="CQ603" s="213" t="s">
        <v>2543</v>
      </c>
      <c r="CR603" s="213" t="s">
        <v>2543</v>
      </c>
      <c r="CS603" s="213" t="s">
        <v>1620</v>
      </c>
      <c r="CT603" s="213" t="s">
        <v>1621</v>
      </c>
      <c r="CU603" s="213" t="s">
        <v>2206</v>
      </c>
      <c r="CV603" s="214" t="s">
        <v>2207</v>
      </c>
      <c r="CX603" s="212">
        <v>1</v>
      </c>
    </row>
    <row r="604" spans="91:102" ht="21" customHeight="1">
      <c r="CM604" s="210"/>
      <c r="CN604" s="213" t="s">
        <v>2544</v>
      </c>
      <c r="CO604" s="213" t="s">
        <v>896</v>
      </c>
      <c r="CP604" s="213" t="s">
        <v>879</v>
      </c>
      <c r="CQ604" s="213" t="s">
        <v>2545</v>
      </c>
      <c r="CR604" s="213" t="s">
        <v>2545</v>
      </c>
      <c r="CS604" s="213" t="s">
        <v>1620</v>
      </c>
      <c r="CT604" s="213" t="s">
        <v>1621</v>
      </c>
      <c r="CU604" s="213" t="s">
        <v>2206</v>
      </c>
      <c r="CV604" s="214" t="s">
        <v>2207</v>
      </c>
      <c r="CX604" s="212">
        <v>1</v>
      </c>
    </row>
    <row r="605" spans="91:102" ht="21" customHeight="1">
      <c r="CM605" s="210"/>
      <c r="CN605" s="213" t="s">
        <v>2546</v>
      </c>
      <c r="CO605" s="213" t="s">
        <v>896</v>
      </c>
      <c r="CP605" s="213" t="s">
        <v>879</v>
      </c>
      <c r="CQ605" s="213" t="s">
        <v>2547</v>
      </c>
      <c r="CR605" s="213" t="s">
        <v>2547</v>
      </c>
      <c r="CS605" s="213" t="s">
        <v>1620</v>
      </c>
      <c r="CT605" s="213" t="s">
        <v>1621</v>
      </c>
      <c r="CU605" s="213" t="s">
        <v>2206</v>
      </c>
      <c r="CV605" s="214" t="s">
        <v>2207</v>
      </c>
      <c r="CX605" s="212">
        <v>1</v>
      </c>
    </row>
    <row r="606" spans="91:102" ht="21" customHeight="1">
      <c r="CM606" s="210"/>
      <c r="CN606" s="213" t="s">
        <v>2548</v>
      </c>
      <c r="CO606" s="213" t="s">
        <v>896</v>
      </c>
      <c r="CP606" s="213" t="s">
        <v>879</v>
      </c>
      <c r="CQ606" s="213" t="s">
        <v>2549</v>
      </c>
      <c r="CR606" s="213" t="s">
        <v>2549</v>
      </c>
      <c r="CS606" s="213" t="s">
        <v>1620</v>
      </c>
      <c r="CT606" s="213" t="s">
        <v>1621</v>
      </c>
      <c r="CU606" s="213" t="s">
        <v>2206</v>
      </c>
      <c r="CV606" s="214" t="s">
        <v>2207</v>
      </c>
      <c r="CX606" s="212">
        <v>1</v>
      </c>
    </row>
    <row r="607" spans="91:102" ht="21" customHeight="1">
      <c r="CM607" s="210"/>
      <c r="CN607" s="213" t="s">
        <v>2550</v>
      </c>
      <c r="CO607" s="213" t="s">
        <v>896</v>
      </c>
      <c r="CP607" s="213" t="s">
        <v>879</v>
      </c>
      <c r="CQ607" s="213" t="s">
        <v>2551</v>
      </c>
      <c r="CR607" s="213" t="s">
        <v>2551</v>
      </c>
      <c r="CS607" s="213" t="s">
        <v>1620</v>
      </c>
      <c r="CT607" s="213" t="s">
        <v>1621</v>
      </c>
      <c r="CU607" s="213" t="s">
        <v>2206</v>
      </c>
      <c r="CV607" s="214" t="s">
        <v>2207</v>
      </c>
      <c r="CX607" s="212">
        <v>1</v>
      </c>
    </row>
    <row r="608" spans="91:102" ht="21" customHeight="1">
      <c r="CM608" s="210"/>
      <c r="CN608" s="213" t="s">
        <v>2552</v>
      </c>
      <c r="CO608" s="213" t="s">
        <v>896</v>
      </c>
      <c r="CP608" s="213" t="s">
        <v>879</v>
      </c>
      <c r="CQ608" s="213" t="s">
        <v>2553</v>
      </c>
      <c r="CR608" s="213" t="s">
        <v>2553</v>
      </c>
      <c r="CS608" s="213" t="s">
        <v>1620</v>
      </c>
      <c r="CT608" s="213" t="s">
        <v>1621</v>
      </c>
      <c r="CU608" s="213" t="s">
        <v>2206</v>
      </c>
      <c r="CV608" s="214" t="s">
        <v>2207</v>
      </c>
      <c r="CX608" s="212">
        <v>1</v>
      </c>
    </row>
    <row r="609" spans="91:102" ht="21" customHeight="1">
      <c r="CM609" s="210"/>
      <c r="CN609" s="213" t="s">
        <v>2554</v>
      </c>
      <c r="CO609" s="213" t="s">
        <v>896</v>
      </c>
      <c r="CP609" s="213" t="s">
        <v>879</v>
      </c>
      <c r="CQ609" s="213" t="s">
        <v>2555</v>
      </c>
      <c r="CR609" s="213" t="s">
        <v>2555</v>
      </c>
      <c r="CS609" s="213" t="s">
        <v>1620</v>
      </c>
      <c r="CT609" s="213" t="s">
        <v>1621</v>
      </c>
      <c r="CU609" s="213" t="s">
        <v>2206</v>
      </c>
      <c r="CV609" s="214" t="s">
        <v>2207</v>
      </c>
      <c r="CX609" s="212">
        <v>1</v>
      </c>
    </row>
    <row r="610" spans="91:102" ht="21" customHeight="1">
      <c r="CM610" s="210"/>
      <c r="CN610" s="213" t="s">
        <v>2556</v>
      </c>
      <c r="CO610" s="213" t="s">
        <v>896</v>
      </c>
      <c r="CP610" s="213" t="s">
        <v>879</v>
      </c>
      <c r="CQ610" s="213" t="s">
        <v>2557</v>
      </c>
      <c r="CR610" s="213" t="s">
        <v>2557</v>
      </c>
      <c r="CS610" s="213" t="s">
        <v>971</v>
      </c>
      <c r="CT610" s="213" t="s">
        <v>972</v>
      </c>
      <c r="CU610" s="213" t="s">
        <v>883</v>
      </c>
      <c r="CV610" s="214" t="s">
        <v>973</v>
      </c>
      <c r="CX610" s="212">
        <v>1</v>
      </c>
    </row>
    <row r="611" spans="91:102" ht="21" customHeight="1">
      <c r="CM611" s="210"/>
      <c r="CN611" s="213" t="s">
        <v>2558</v>
      </c>
      <c r="CO611" s="213" t="s">
        <v>896</v>
      </c>
      <c r="CP611" s="213" t="s">
        <v>879</v>
      </c>
      <c r="CQ611" s="213" t="s">
        <v>2559</v>
      </c>
      <c r="CR611" s="213" t="s">
        <v>2559</v>
      </c>
      <c r="CS611" s="213" t="s">
        <v>1620</v>
      </c>
      <c r="CT611" s="213" t="s">
        <v>1621</v>
      </c>
      <c r="CU611" s="213" t="s">
        <v>2206</v>
      </c>
      <c r="CV611" s="214" t="s">
        <v>2207</v>
      </c>
      <c r="CX611" s="212">
        <v>1</v>
      </c>
    </row>
    <row r="612" spans="91:102" ht="21" customHeight="1">
      <c r="CM612" s="210"/>
      <c r="CN612" s="213" t="s">
        <v>2560</v>
      </c>
      <c r="CO612" s="213" t="s">
        <v>896</v>
      </c>
      <c r="CP612" s="213" t="s">
        <v>879</v>
      </c>
      <c r="CQ612" s="213" t="s">
        <v>2561</v>
      </c>
      <c r="CR612" s="213" t="s">
        <v>2561</v>
      </c>
      <c r="CS612" s="213" t="s">
        <v>1620</v>
      </c>
      <c r="CT612" s="213" t="s">
        <v>1621</v>
      </c>
      <c r="CU612" s="213" t="s">
        <v>2206</v>
      </c>
      <c r="CV612" s="214" t="s">
        <v>2207</v>
      </c>
      <c r="CX612" s="212">
        <v>1</v>
      </c>
    </row>
    <row r="613" spans="91:102" ht="21" customHeight="1">
      <c r="CM613" s="210"/>
      <c r="CN613" s="213" t="s">
        <v>2562</v>
      </c>
      <c r="CO613" s="213" t="s">
        <v>896</v>
      </c>
      <c r="CP613" s="213" t="s">
        <v>879</v>
      </c>
      <c r="CQ613" s="213" t="s">
        <v>2563</v>
      </c>
      <c r="CR613" s="213" t="s">
        <v>2563</v>
      </c>
      <c r="CS613" s="213" t="s">
        <v>1620</v>
      </c>
      <c r="CT613" s="213" t="s">
        <v>1621</v>
      </c>
      <c r="CU613" s="213" t="s">
        <v>2206</v>
      </c>
      <c r="CV613" s="214" t="s">
        <v>2207</v>
      </c>
      <c r="CX613" s="212">
        <v>1</v>
      </c>
    </row>
    <row r="614" spans="91:102" ht="21" customHeight="1">
      <c r="CM614" s="210"/>
      <c r="CN614" s="213" t="s">
        <v>2564</v>
      </c>
      <c r="CO614" s="213" t="s">
        <v>896</v>
      </c>
      <c r="CP614" s="213" t="s">
        <v>879</v>
      </c>
      <c r="CQ614" s="213" t="s">
        <v>2565</v>
      </c>
      <c r="CR614" s="213" t="s">
        <v>2565</v>
      </c>
      <c r="CS614" s="213" t="s">
        <v>1620</v>
      </c>
      <c r="CT614" s="213" t="s">
        <v>1621</v>
      </c>
      <c r="CU614" s="213" t="s">
        <v>2206</v>
      </c>
      <c r="CV614" s="214" t="s">
        <v>2207</v>
      </c>
      <c r="CX614" s="212">
        <v>1</v>
      </c>
    </row>
    <row r="615" spans="91:102" ht="21" customHeight="1">
      <c r="CM615" s="210"/>
      <c r="CN615" s="213" t="s">
        <v>2566</v>
      </c>
      <c r="CO615" s="213" t="s">
        <v>896</v>
      </c>
      <c r="CP615" s="213" t="s">
        <v>879</v>
      </c>
      <c r="CQ615" s="213" t="s">
        <v>2567</v>
      </c>
      <c r="CR615" s="213" t="s">
        <v>2567</v>
      </c>
      <c r="CS615" s="213" t="s">
        <v>1620</v>
      </c>
      <c r="CT615" s="213" t="s">
        <v>1621</v>
      </c>
      <c r="CU615" s="213" t="s">
        <v>2206</v>
      </c>
      <c r="CV615" s="214" t="s">
        <v>2207</v>
      </c>
      <c r="CX615" s="212">
        <v>1</v>
      </c>
    </row>
    <row r="616" spans="91:102" ht="21" customHeight="1">
      <c r="CM616" s="210"/>
      <c r="CN616" s="213" t="s">
        <v>2568</v>
      </c>
      <c r="CO616" s="213" t="s">
        <v>896</v>
      </c>
      <c r="CP616" s="213" t="s">
        <v>879</v>
      </c>
      <c r="CQ616" s="213" t="s">
        <v>2569</v>
      </c>
      <c r="CR616" s="213" t="s">
        <v>2569</v>
      </c>
      <c r="CS616" s="213" t="s">
        <v>1620</v>
      </c>
      <c r="CT616" s="213" t="s">
        <v>1621</v>
      </c>
      <c r="CU616" s="213" t="s">
        <v>2206</v>
      </c>
      <c r="CV616" s="214" t="s">
        <v>2207</v>
      </c>
      <c r="CX616" s="212">
        <v>1</v>
      </c>
    </row>
    <row r="617" spans="91:102" ht="21" customHeight="1">
      <c r="CM617" s="210"/>
      <c r="CN617" s="213" t="s">
        <v>2570</v>
      </c>
      <c r="CO617" s="213" t="s">
        <v>896</v>
      </c>
      <c r="CP617" s="213" t="s">
        <v>879</v>
      </c>
      <c r="CQ617" s="213" t="s">
        <v>2571</v>
      </c>
      <c r="CR617" s="213" t="s">
        <v>2571</v>
      </c>
      <c r="CS617" s="213" t="s">
        <v>1620</v>
      </c>
      <c r="CT617" s="213" t="s">
        <v>1621</v>
      </c>
      <c r="CU617" s="213" t="s">
        <v>2206</v>
      </c>
      <c r="CV617" s="214" t="s">
        <v>2207</v>
      </c>
      <c r="CX617" s="212">
        <v>1</v>
      </c>
    </row>
    <row r="618" spans="91:102" ht="21" customHeight="1">
      <c r="CM618" s="210"/>
      <c r="CN618" s="213" t="s">
        <v>2572</v>
      </c>
      <c r="CO618" s="213" t="s">
        <v>896</v>
      </c>
      <c r="CP618" s="213" t="s">
        <v>879</v>
      </c>
      <c r="CQ618" s="213" t="s">
        <v>2573</v>
      </c>
      <c r="CR618" s="213" t="s">
        <v>2573</v>
      </c>
      <c r="CS618" s="213" t="s">
        <v>1620</v>
      </c>
      <c r="CT618" s="213" t="s">
        <v>1621</v>
      </c>
      <c r="CU618" s="213" t="s">
        <v>2206</v>
      </c>
      <c r="CV618" s="214" t="s">
        <v>2207</v>
      </c>
      <c r="CX618" s="212">
        <v>1</v>
      </c>
    </row>
    <row r="619" spans="91:102" ht="21" customHeight="1">
      <c r="CM619" s="210"/>
      <c r="CN619" s="213" t="s">
        <v>2574</v>
      </c>
      <c r="CO619" s="213" t="s">
        <v>896</v>
      </c>
      <c r="CP619" s="213" t="s">
        <v>879</v>
      </c>
      <c r="CQ619" s="213" t="s">
        <v>2575</v>
      </c>
      <c r="CR619" s="213" t="s">
        <v>2575</v>
      </c>
      <c r="CS619" s="213" t="s">
        <v>1620</v>
      </c>
      <c r="CT619" s="213" t="s">
        <v>2576</v>
      </c>
      <c r="CU619" s="213" t="s">
        <v>2206</v>
      </c>
      <c r="CV619" s="214" t="s">
        <v>2207</v>
      </c>
      <c r="CX619" s="212">
        <v>1</v>
      </c>
    </row>
    <row r="620" spans="91:102" ht="21" customHeight="1">
      <c r="CM620" s="210"/>
      <c r="CN620" s="213" t="s">
        <v>2577</v>
      </c>
      <c r="CO620" s="213" t="s">
        <v>896</v>
      </c>
      <c r="CP620" s="213" t="s">
        <v>879</v>
      </c>
      <c r="CQ620" s="213" t="s">
        <v>2578</v>
      </c>
      <c r="CR620" s="213" t="s">
        <v>2578</v>
      </c>
      <c r="CS620" s="213" t="s">
        <v>1620</v>
      </c>
      <c r="CT620" s="213" t="s">
        <v>1621</v>
      </c>
      <c r="CU620" s="213" t="s">
        <v>2206</v>
      </c>
      <c r="CV620" s="214" t="s">
        <v>2207</v>
      </c>
      <c r="CX620" s="212">
        <v>1</v>
      </c>
    </row>
    <row r="621" spans="91:102" ht="21" customHeight="1">
      <c r="CM621" s="210"/>
      <c r="CN621" s="213" t="s">
        <v>2579</v>
      </c>
      <c r="CO621" s="213" t="s">
        <v>896</v>
      </c>
      <c r="CP621" s="213" t="s">
        <v>879</v>
      </c>
      <c r="CQ621" s="213" t="s">
        <v>2580</v>
      </c>
      <c r="CR621" s="213" t="s">
        <v>2580</v>
      </c>
      <c r="CS621" s="213" t="s">
        <v>1620</v>
      </c>
      <c r="CT621" s="213" t="s">
        <v>1621</v>
      </c>
      <c r="CU621" s="213" t="s">
        <v>2206</v>
      </c>
      <c r="CV621" s="214" t="s">
        <v>2207</v>
      </c>
      <c r="CX621" s="212">
        <v>1</v>
      </c>
    </row>
    <row r="622" spans="91:102" ht="21" customHeight="1">
      <c r="CM622" s="210"/>
      <c r="CN622" s="213" t="s">
        <v>2581</v>
      </c>
      <c r="CO622" s="213" t="s">
        <v>896</v>
      </c>
      <c r="CP622" s="213" t="s">
        <v>879</v>
      </c>
      <c r="CQ622" s="213" t="s">
        <v>2582</v>
      </c>
      <c r="CR622" s="213" t="s">
        <v>2582</v>
      </c>
      <c r="CS622" s="213" t="s">
        <v>1620</v>
      </c>
      <c r="CT622" s="213" t="s">
        <v>1621</v>
      </c>
      <c r="CU622" s="213" t="s">
        <v>2206</v>
      </c>
      <c r="CV622" s="214" t="s">
        <v>2207</v>
      </c>
      <c r="CX622" s="212">
        <v>1</v>
      </c>
    </row>
    <row r="623" spans="91:102" ht="21" customHeight="1">
      <c r="CM623" s="210"/>
      <c r="CN623" s="213" t="s">
        <v>2583</v>
      </c>
      <c r="CO623" s="213" t="s">
        <v>896</v>
      </c>
      <c r="CP623" s="213" t="s">
        <v>879</v>
      </c>
      <c r="CQ623" s="213" t="s">
        <v>2584</v>
      </c>
      <c r="CR623" s="213" t="s">
        <v>2584</v>
      </c>
      <c r="CS623" s="213" t="s">
        <v>1620</v>
      </c>
      <c r="CT623" s="213" t="s">
        <v>1621</v>
      </c>
      <c r="CU623" s="213" t="s">
        <v>2206</v>
      </c>
      <c r="CV623" s="214" t="s">
        <v>2207</v>
      </c>
      <c r="CX623" s="212">
        <v>1</v>
      </c>
    </row>
    <row r="624" spans="91:102" ht="21" customHeight="1">
      <c r="CM624" s="210"/>
      <c r="CN624" s="213" t="s">
        <v>2585</v>
      </c>
      <c r="CO624" s="213" t="s">
        <v>896</v>
      </c>
      <c r="CP624" s="213" t="s">
        <v>879</v>
      </c>
      <c r="CQ624" s="213" t="s">
        <v>2586</v>
      </c>
      <c r="CR624" s="213" t="s">
        <v>2586</v>
      </c>
      <c r="CS624" s="213" t="s">
        <v>1620</v>
      </c>
      <c r="CT624" s="213" t="s">
        <v>1621</v>
      </c>
      <c r="CU624" s="213" t="s">
        <v>2206</v>
      </c>
      <c r="CV624" s="214" t="s">
        <v>2207</v>
      </c>
      <c r="CX624" s="212">
        <v>1</v>
      </c>
    </row>
    <row r="625" spans="91:102" ht="21" customHeight="1">
      <c r="CM625" s="210"/>
      <c r="CN625" s="213" t="s">
        <v>2587</v>
      </c>
      <c r="CO625" s="213" t="s">
        <v>896</v>
      </c>
      <c r="CP625" s="213" t="s">
        <v>879</v>
      </c>
      <c r="CQ625" s="213" t="s">
        <v>2588</v>
      </c>
      <c r="CR625" s="213" t="s">
        <v>2588</v>
      </c>
      <c r="CS625" s="213" t="s">
        <v>1620</v>
      </c>
      <c r="CT625" s="213" t="s">
        <v>1621</v>
      </c>
      <c r="CU625" s="213" t="s">
        <v>2206</v>
      </c>
      <c r="CV625" s="214" t="s">
        <v>2207</v>
      </c>
      <c r="CX625" s="212">
        <v>1</v>
      </c>
    </row>
    <row r="626" spans="91:102" ht="21" customHeight="1">
      <c r="CM626" s="210"/>
      <c r="CN626" s="213" t="s">
        <v>2589</v>
      </c>
      <c r="CO626" s="213" t="s">
        <v>896</v>
      </c>
      <c r="CP626" s="213" t="s">
        <v>879</v>
      </c>
      <c r="CQ626" s="213" t="s">
        <v>2590</v>
      </c>
      <c r="CR626" s="213" t="s">
        <v>2590</v>
      </c>
      <c r="CS626" s="213" t="s">
        <v>1620</v>
      </c>
      <c r="CT626" s="213" t="s">
        <v>1621</v>
      </c>
      <c r="CU626" s="213" t="s">
        <v>2206</v>
      </c>
      <c r="CV626" s="214" t="s">
        <v>2207</v>
      </c>
      <c r="CX626" s="212">
        <v>1</v>
      </c>
    </row>
    <row r="627" spans="91:102" ht="21" customHeight="1">
      <c r="CM627" s="210"/>
      <c r="CN627" s="213" t="s">
        <v>2591</v>
      </c>
      <c r="CO627" s="213" t="s">
        <v>896</v>
      </c>
      <c r="CP627" s="213" t="s">
        <v>879</v>
      </c>
      <c r="CQ627" s="213" t="s">
        <v>2592</v>
      </c>
      <c r="CR627" s="213" t="s">
        <v>2592</v>
      </c>
      <c r="CS627" s="213" t="s">
        <v>1620</v>
      </c>
      <c r="CT627" s="213" t="s">
        <v>1621</v>
      </c>
      <c r="CU627" s="213" t="s">
        <v>2206</v>
      </c>
      <c r="CV627" s="214" t="s">
        <v>2207</v>
      </c>
      <c r="CX627" s="212">
        <v>1</v>
      </c>
    </row>
    <row r="628" spans="91:102" ht="21" customHeight="1">
      <c r="CM628" s="210"/>
      <c r="CN628" s="213" t="s">
        <v>2593</v>
      </c>
      <c r="CO628" s="213" t="s">
        <v>896</v>
      </c>
      <c r="CP628" s="213" t="s">
        <v>879</v>
      </c>
      <c r="CQ628" s="213" t="s">
        <v>2594</v>
      </c>
      <c r="CR628" s="213" t="s">
        <v>2594</v>
      </c>
      <c r="CS628" s="213" t="s">
        <v>1620</v>
      </c>
      <c r="CT628" s="213" t="s">
        <v>1621</v>
      </c>
      <c r="CU628" s="213" t="s">
        <v>2206</v>
      </c>
      <c r="CV628" s="214" t="s">
        <v>2207</v>
      </c>
      <c r="CX628" s="212">
        <v>1</v>
      </c>
    </row>
    <row r="629" spans="91:102" ht="21" customHeight="1">
      <c r="CM629" s="210"/>
      <c r="CN629" s="213" t="s">
        <v>2595</v>
      </c>
      <c r="CO629" s="213" t="s">
        <v>896</v>
      </c>
      <c r="CP629" s="213" t="s">
        <v>879</v>
      </c>
      <c r="CQ629" s="213" t="s">
        <v>2596</v>
      </c>
      <c r="CR629" s="213" t="s">
        <v>2596</v>
      </c>
      <c r="CS629" s="213" t="s">
        <v>1620</v>
      </c>
      <c r="CT629" s="213" t="s">
        <v>1621</v>
      </c>
      <c r="CU629" s="213" t="s">
        <v>2206</v>
      </c>
      <c r="CV629" s="214" t="s">
        <v>2207</v>
      </c>
      <c r="CX629" s="212">
        <v>1</v>
      </c>
    </row>
    <row r="630" spans="91:102" ht="21" customHeight="1">
      <c r="CM630" s="210"/>
      <c r="CN630" s="213" t="s">
        <v>2597</v>
      </c>
      <c r="CO630" s="213" t="s">
        <v>896</v>
      </c>
      <c r="CP630" s="213" t="s">
        <v>879</v>
      </c>
      <c r="CQ630" s="213" t="s">
        <v>2598</v>
      </c>
      <c r="CR630" s="213" t="s">
        <v>2598</v>
      </c>
      <c r="CS630" s="213" t="s">
        <v>1620</v>
      </c>
      <c r="CT630" s="213" t="s">
        <v>1621</v>
      </c>
      <c r="CU630" s="213" t="s">
        <v>2206</v>
      </c>
      <c r="CV630" s="214" t="s">
        <v>2207</v>
      </c>
      <c r="CX630" s="212">
        <v>1</v>
      </c>
    </row>
    <row r="631" spans="91:102" ht="21" customHeight="1">
      <c r="CM631" s="210"/>
      <c r="CN631" s="213" t="s">
        <v>2599</v>
      </c>
      <c r="CO631" s="213" t="s">
        <v>896</v>
      </c>
      <c r="CP631" s="213" t="s">
        <v>879</v>
      </c>
      <c r="CQ631" s="213" t="s">
        <v>2600</v>
      </c>
      <c r="CR631" s="213" t="s">
        <v>2600</v>
      </c>
      <c r="CS631" s="213" t="s">
        <v>1620</v>
      </c>
      <c r="CT631" s="213" t="s">
        <v>1621</v>
      </c>
      <c r="CU631" s="213" t="s">
        <v>2206</v>
      </c>
      <c r="CV631" s="214" t="s">
        <v>2207</v>
      </c>
      <c r="CX631" s="212">
        <v>1</v>
      </c>
    </row>
    <row r="632" spans="91:102" ht="21" customHeight="1">
      <c r="CM632" s="210"/>
      <c r="CN632" s="213" t="s">
        <v>2601</v>
      </c>
      <c r="CO632" s="213" t="s">
        <v>896</v>
      </c>
      <c r="CP632" s="213" t="s">
        <v>879</v>
      </c>
      <c r="CQ632" s="213" t="s">
        <v>2602</v>
      </c>
      <c r="CR632" s="213" t="s">
        <v>2602</v>
      </c>
      <c r="CS632" s="213" t="s">
        <v>1620</v>
      </c>
      <c r="CT632" s="213" t="s">
        <v>1621</v>
      </c>
      <c r="CU632" s="213" t="s">
        <v>2206</v>
      </c>
      <c r="CV632" s="214" t="s">
        <v>2207</v>
      </c>
      <c r="CX632" s="212">
        <v>1</v>
      </c>
    </row>
    <row r="633" spans="91:102" ht="21" customHeight="1">
      <c r="CM633" s="210"/>
      <c r="CN633" s="213" t="s">
        <v>2603</v>
      </c>
      <c r="CO633" s="213" t="s">
        <v>896</v>
      </c>
      <c r="CP633" s="213" t="s">
        <v>879</v>
      </c>
      <c r="CQ633" s="213" t="s">
        <v>2604</v>
      </c>
      <c r="CR633" s="213" t="s">
        <v>2604</v>
      </c>
      <c r="CS633" s="213" t="s">
        <v>1620</v>
      </c>
      <c r="CT633" s="213" t="s">
        <v>1621</v>
      </c>
      <c r="CU633" s="213" t="s">
        <v>2206</v>
      </c>
      <c r="CV633" s="214" t="s">
        <v>2207</v>
      </c>
      <c r="CX633" s="212">
        <v>1</v>
      </c>
    </row>
    <row r="634" spans="91:102" ht="21" customHeight="1">
      <c r="CM634" s="210"/>
      <c r="CN634" s="213" t="s">
        <v>2605</v>
      </c>
      <c r="CO634" s="213" t="s">
        <v>896</v>
      </c>
      <c r="CP634" s="213" t="s">
        <v>879</v>
      </c>
      <c r="CQ634" s="213" t="s">
        <v>2606</v>
      </c>
      <c r="CR634" s="213" t="s">
        <v>2606</v>
      </c>
      <c r="CS634" s="213" t="s">
        <v>1620</v>
      </c>
      <c r="CT634" s="213" t="s">
        <v>1621</v>
      </c>
      <c r="CU634" s="213" t="s">
        <v>2206</v>
      </c>
      <c r="CV634" s="214" t="s">
        <v>2207</v>
      </c>
      <c r="CX634" s="212">
        <v>1</v>
      </c>
    </row>
    <row r="635" spans="91:102" ht="21" customHeight="1">
      <c r="CM635" s="210"/>
      <c r="CN635" s="213" t="s">
        <v>2607</v>
      </c>
      <c r="CO635" s="213" t="s">
        <v>896</v>
      </c>
      <c r="CP635" s="213" t="s">
        <v>879</v>
      </c>
      <c r="CQ635" s="213" t="s">
        <v>2608</v>
      </c>
      <c r="CR635" s="213" t="s">
        <v>2608</v>
      </c>
      <c r="CS635" s="213" t="s">
        <v>1620</v>
      </c>
      <c r="CT635" s="213" t="s">
        <v>1621</v>
      </c>
      <c r="CU635" s="213" t="s">
        <v>2206</v>
      </c>
      <c r="CV635" s="214" t="s">
        <v>2207</v>
      </c>
      <c r="CX635" s="212">
        <v>1</v>
      </c>
    </row>
    <row r="636" spans="91:102" ht="21" customHeight="1">
      <c r="CM636" s="210"/>
      <c r="CN636" s="213" t="s">
        <v>2609</v>
      </c>
      <c r="CO636" s="213" t="s">
        <v>896</v>
      </c>
      <c r="CP636" s="213" t="s">
        <v>879</v>
      </c>
      <c r="CQ636" s="213" t="s">
        <v>2610</v>
      </c>
      <c r="CR636" s="213" t="s">
        <v>2610</v>
      </c>
      <c r="CS636" s="213" t="s">
        <v>1620</v>
      </c>
      <c r="CT636" s="213" t="s">
        <v>1621</v>
      </c>
      <c r="CU636" s="213" t="s">
        <v>2206</v>
      </c>
      <c r="CV636" s="214" t="s">
        <v>2207</v>
      </c>
      <c r="CX636" s="212">
        <v>1</v>
      </c>
    </row>
    <row r="637" spans="91:102" ht="21" customHeight="1">
      <c r="CM637" s="210"/>
      <c r="CN637" s="213" t="s">
        <v>2611</v>
      </c>
      <c r="CO637" s="213" t="s">
        <v>896</v>
      </c>
      <c r="CP637" s="213" t="s">
        <v>879</v>
      </c>
      <c r="CQ637" s="213" t="s">
        <v>2612</v>
      </c>
      <c r="CR637" s="213" t="s">
        <v>2612</v>
      </c>
      <c r="CS637" s="213" t="s">
        <v>1620</v>
      </c>
      <c r="CT637" s="213" t="s">
        <v>1621</v>
      </c>
      <c r="CU637" s="213" t="s">
        <v>2206</v>
      </c>
      <c r="CV637" s="214" t="s">
        <v>2207</v>
      </c>
      <c r="CX637" s="212">
        <v>1</v>
      </c>
    </row>
    <row r="638" spans="91:102" ht="21" customHeight="1">
      <c r="CM638" s="210"/>
      <c r="CN638" s="213" t="s">
        <v>2613</v>
      </c>
      <c r="CO638" s="213" t="s">
        <v>896</v>
      </c>
      <c r="CP638" s="213" t="s">
        <v>879</v>
      </c>
      <c r="CQ638" s="213" t="s">
        <v>2614</v>
      </c>
      <c r="CR638" s="213" t="s">
        <v>2614</v>
      </c>
      <c r="CS638" s="213" t="s">
        <v>1620</v>
      </c>
      <c r="CT638" s="213" t="s">
        <v>1621</v>
      </c>
      <c r="CU638" s="213" t="s">
        <v>2206</v>
      </c>
      <c r="CV638" s="214" t="s">
        <v>2207</v>
      </c>
      <c r="CX638" s="212">
        <v>1</v>
      </c>
    </row>
    <row r="639" spans="91:102" ht="21" customHeight="1">
      <c r="CM639" s="210"/>
      <c r="CN639" s="213" t="s">
        <v>2615</v>
      </c>
      <c r="CO639" s="213" t="s">
        <v>896</v>
      </c>
      <c r="CP639" s="213" t="s">
        <v>879</v>
      </c>
      <c r="CQ639" s="213" t="s">
        <v>2616</v>
      </c>
      <c r="CR639" s="213" t="s">
        <v>2616</v>
      </c>
      <c r="CS639" s="213" t="s">
        <v>1620</v>
      </c>
      <c r="CT639" s="213" t="s">
        <v>1621</v>
      </c>
      <c r="CU639" s="213" t="s">
        <v>2206</v>
      </c>
      <c r="CV639" s="214" t="s">
        <v>2207</v>
      </c>
      <c r="CX639" s="212">
        <v>1</v>
      </c>
    </row>
    <row r="640" spans="91:102" ht="21" customHeight="1">
      <c r="CM640" s="210"/>
      <c r="CN640" s="213" t="s">
        <v>2617</v>
      </c>
      <c r="CO640" s="213" t="s">
        <v>896</v>
      </c>
      <c r="CP640" s="213" t="s">
        <v>879</v>
      </c>
      <c r="CQ640" s="213" t="s">
        <v>2618</v>
      </c>
      <c r="CR640" s="213" t="s">
        <v>2618</v>
      </c>
      <c r="CS640" s="213" t="s">
        <v>1620</v>
      </c>
      <c r="CT640" s="213" t="s">
        <v>1621</v>
      </c>
      <c r="CU640" s="213" t="s">
        <v>2206</v>
      </c>
      <c r="CV640" s="214" t="s">
        <v>2207</v>
      </c>
      <c r="CX640" s="212">
        <v>1</v>
      </c>
    </row>
    <row r="641" spans="91:102" ht="21" customHeight="1">
      <c r="CM641" s="210"/>
      <c r="CN641" s="213" t="s">
        <v>2619</v>
      </c>
      <c r="CO641" s="213" t="s">
        <v>896</v>
      </c>
      <c r="CP641" s="213" t="s">
        <v>879</v>
      </c>
      <c r="CQ641" s="213" t="s">
        <v>2620</v>
      </c>
      <c r="CR641" s="213" t="s">
        <v>2620</v>
      </c>
      <c r="CS641" s="213" t="s">
        <v>1620</v>
      </c>
      <c r="CT641" s="213" t="s">
        <v>1621</v>
      </c>
      <c r="CU641" s="213" t="s">
        <v>2206</v>
      </c>
      <c r="CV641" s="214" t="s">
        <v>2207</v>
      </c>
      <c r="CX641" s="212">
        <v>1</v>
      </c>
    </row>
    <row r="642" spans="91:102" ht="21" customHeight="1">
      <c r="CM642" s="210"/>
      <c r="CN642" s="213" t="s">
        <v>2621</v>
      </c>
      <c r="CO642" s="213" t="s">
        <v>896</v>
      </c>
      <c r="CP642" s="213" t="s">
        <v>879</v>
      </c>
      <c r="CQ642" s="213" t="s">
        <v>2622</v>
      </c>
      <c r="CR642" s="213" t="s">
        <v>2622</v>
      </c>
      <c r="CS642" s="213" t="s">
        <v>1620</v>
      </c>
      <c r="CT642" s="213" t="s">
        <v>1621</v>
      </c>
      <c r="CU642" s="213" t="s">
        <v>2206</v>
      </c>
      <c r="CV642" s="214" t="s">
        <v>2207</v>
      </c>
      <c r="CX642" s="212">
        <v>1</v>
      </c>
    </row>
    <row r="643" spans="91:102" ht="21" customHeight="1">
      <c r="CM643" s="210"/>
      <c r="CN643" s="213" t="s">
        <v>2623</v>
      </c>
      <c r="CO643" s="213" t="s">
        <v>896</v>
      </c>
      <c r="CP643" s="213" t="s">
        <v>879</v>
      </c>
      <c r="CQ643" s="213" t="s">
        <v>2624</v>
      </c>
      <c r="CR643" s="213" t="s">
        <v>2624</v>
      </c>
      <c r="CS643" s="213" t="s">
        <v>1620</v>
      </c>
      <c r="CT643" s="213" t="s">
        <v>1621</v>
      </c>
      <c r="CU643" s="213" t="s">
        <v>2206</v>
      </c>
      <c r="CV643" s="214" t="s">
        <v>2207</v>
      </c>
      <c r="CX643" s="212">
        <v>1</v>
      </c>
    </row>
    <row r="644" spans="91:102" ht="21" customHeight="1">
      <c r="CM644" s="210"/>
      <c r="CN644" s="213" t="s">
        <v>2625</v>
      </c>
      <c r="CO644" s="213" t="s">
        <v>896</v>
      </c>
      <c r="CP644" s="213" t="s">
        <v>879</v>
      </c>
      <c r="CQ644" s="213" t="s">
        <v>2626</v>
      </c>
      <c r="CR644" s="213" t="s">
        <v>2626</v>
      </c>
      <c r="CS644" s="213" t="s">
        <v>1620</v>
      </c>
      <c r="CT644" s="213" t="s">
        <v>1621</v>
      </c>
      <c r="CU644" s="213" t="s">
        <v>2206</v>
      </c>
      <c r="CV644" s="214" t="s">
        <v>2207</v>
      </c>
      <c r="CX644" s="212">
        <v>1</v>
      </c>
    </row>
    <row r="645" spans="91:102" ht="21" customHeight="1">
      <c r="CM645" s="210"/>
      <c r="CN645" s="213" t="s">
        <v>2627</v>
      </c>
      <c r="CO645" s="213" t="s">
        <v>896</v>
      </c>
      <c r="CP645" s="213" t="s">
        <v>879</v>
      </c>
      <c r="CQ645" s="213" t="s">
        <v>2628</v>
      </c>
      <c r="CR645" s="213" t="s">
        <v>2628</v>
      </c>
      <c r="CS645" s="213" t="s">
        <v>1620</v>
      </c>
      <c r="CT645" s="213" t="s">
        <v>1621</v>
      </c>
      <c r="CU645" s="213" t="s">
        <v>2206</v>
      </c>
      <c r="CV645" s="214" t="s">
        <v>2207</v>
      </c>
      <c r="CX645" s="212">
        <v>1</v>
      </c>
    </row>
    <row r="646" spans="91:102" ht="21" customHeight="1">
      <c r="CM646" s="210"/>
      <c r="CN646" s="213" t="s">
        <v>2629</v>
      </c>
      <c r="CO646" s="213" t="s">
        <v>896</v>
      </c>
      <c r="CP646" s="213" t="s">
        <v>879</v>
      </c>
      <c r="CQ646" s="213" t="s">
        <v>2630</v>
      </c>
      <c r="CR646" s="213" t="s">
        <v>2630</v>
      </c>
      <c r="CS646" s="213" t="s">
        <v>1620</v>
      </c>
      <c r="CT646" s="213" t="s">
        <v>1621</v>
      </c>
      <c r="CU646" s="213" t="s">
        <v>2206</v>
      </c>
      <c r="CV646" s="214" t="s">
        <v>2207</v>
      </c>
      <c r="CX646" s="212">
        <v>1</v>
      </c>
    </row>
    <row r="647" spans="91:102" ht="21" customHeight="1">
      <c r="CM647" s="210"/>
      <c r="CN647" s="213" t="s">
        <v>2631</v>
      </c>
      <c r="CO647" s="213" t="s">
        <v>896</v>
      </c>
      <c r="CP647" s="213" t="s">
        <v>879</v>
      </c>
      <c r="CQ647" s="213" t="s">
        <v>2632</v>
      </c>
      <c r="CR647" s="213" t="s">
        <v>2632</v>
      </c>
      <c r="CS647" s="213" t="s">
        <v>1620</v>
      </c>
      <c r="CT647" s="213" t="s">
        <v>1621</v>
      </c>
      <c r="CU647" s="213" t="s">
        <v>2206</v>
      </c>
      <c r="CV647" s="214" t="s">
        <v>2207</v>
      </c>
      <c r="CX647" s="212">
        <v>1</v>
      </c>
    </row>
    <row r="648" spans="91:102" ht="21" customHeight="1">
      <c r="CM648" s="210"/>
      <c r="CN648" s="213" t="s">
        <v>2633</v>
      </c>
      <c r="CO648" s="213" t="s">
        <v>896</v>
      </c>
      <c r="CP648" s="213" t="s">
        <v>879</v>
      </c>
      <c r="CQ648" s="213" t="s">
        <v>2634</v>
      </c>
      <c r="CR648" s="213" t="s">
        <v>2634</v>
      </c>
      <c r="CS648" s="213" t="s">
        <v>1620</v>
      </c>
      <c r="CT648" s="213" t="s">
        <v>1621</v>
      </c>
      <c r="CU648" s="213" t="s">
        <v>2206</v>
      </c>
      <c r="CV648" s="214" t="s">
        <v>2207</v>
      </c>
      <c r="CX648" s="212">
        <v>1</v>
      </c>
    </row>
    <row r="649" spans="91:102" ht="21" customHeight="1">
      <c r="CM649" s="210"/>
      <c r="CN649" s="213" t="s">
        <v>2635</v>
      </c>
      <c r="CO649" s="213" t="s">
        <v>896</v>
      </c>
      <c r="CP649" s="213" t="s">
        <v>879</v>
      </c>
      <c r="CQ649" s="213" t="s">
        <v>2636</v>
      </c>
      <c r="CR649" s="213" t="s">
        <v>2636</v>
      </c>
      <c r="CS649" s="213" t="s">
        <v>1620</v>
      </c>
      <c r="CT649" s="213" t="s">
        <v>1621</v>
      </c>
      <c r="CU649" s="213" t="s">
        <v>2206</v>
      </c>
      <c r="CV649" s="214" t="s">
        <v>2207</v>
      </c>
      <c r="CX649" s="212">
        <v>1</v>
      </c>
    </row>
    <row r="650" spans="91:102" ht="21" customHeight="1">
      <c r="CM650" s="210"/>
      <c r="CN650" s="213" t="s">
        <v>2637</v>
      </c>
      <c r="CO650" s="213" t="s">
        <v>896</v>
      </c>
      <c r="CP650" s="213" t="s">
        <v>879</v>
      </c>
      <c r="CQ650" s="213" t="s">
        <v>2638</v>
      </c>
      <c r="CR650" s="213" t="s">
        <v>2638</v>
      </c>
      <c r="CS650" s="213" t="s">
        <v>1620</v>
      </c>
      <c r="CT650" s="213" t="s">
        <v>1621</v>
      </c>
      <c r="CU650" s="213" t="s">
        <v>2206</v>
      </c>
      <c r="CV650" s="214" t="s">
        <v>2207</v>
      </c>
      <c r="CX650" s="212">
        <v>1</v>
      </c>
    </row>
    <row r="651" spans="91:102" ht="21" customHeight="1">
      <c r="CM651" s="210"/>
      <c r="CN651" s="213" t="s">
        <v>2639</v>
      </c>
      <c r="CO651" s="213" t="s">
        <v>896</v>
      </c>
      <c r="CP651" s="213" t="s">
        <v>879</v>
      </c>
      <c r="CQ651" s="213" t="s">
        <v>2640</v>
      </c>
      <c r="CR651" s="213" t="s">
        <v>2640</v>
      </c>
      <c r="CS651" s="213" t="s">
        <v>1620</v>
      </c>
      <c r="CT651" s="213" t="s">
        <v>1621</v>
      </c>
      <c r="CU651" s="213" t="s">
        <v>2206</v>
      </c>
      <c r="CV651" s="214" t="s">
        <v>2207</v>
      </c>
      <c r="CX651" s="212">
        <v>1</v>
      </c>
    </row>
    <row r="652" spans="91:102" ht="21" customHeight="1">
      <c r="CM652" s="210"/>
      <c r="CN652" s="213" t="s">
        <v>2641</v>
      </c>
      <c r="CO652" s="213" t="s">
        <v>896</v>
      </c>
      <c r="CP652" s="213" t="s">
        <v>879</v>
      </c>
      <c r="CQ652" s="213" t="s">
        <v>2642</v>
      </c>
      <c r="CR652" s="213" t="s">
        <v>2642</v>
      </c>
      <c r="CS652" s="213" t="s">
        <v>1620</v>
      </c>
      <c r="CT652" s="213" t="s">
        <v>1621</v>
      </c>
      <c r="CU652" s="213" t="s">
        <v>2206</v>
      </c>
      <c r="CV652" s="214" t="s">
        <v>2207</v>
      </c>
      <c r="CX652" s="212">
        <v>1</v>
      </c>
    </row>
    <row r="653" spans="91:102" ht="21" customHeight="1">
      <c r="CM653" s="210"/>
      <c r="CN653" s="213" t="s">
        <v>2643</v>
      </c>
      <c r="CO653" s="213" t="s">
        <v>896</v>
      </c>
      <c r="CP653" s="213" t="s">
        <v>879</v>
      </c>
      <c r="CQ653" s="213" t="s">
        <v>2644</v>
      </c>
      <c r="CR653" s="213" t="s">
        <v>2644</v>
      </c>
      <c r="CS653" s="213" t="s">
        <v>1620</v>
      </c>
      <c r="CT653" s="213" t="s">
        <v>1621</v>
      </c>
      <c r="CU653" s="213" t="s">
        <v>2206</v>
      </c>
      <c r="CV653" s="214" t="s">
        <v>2207</v>
      </c>
      <c r="CX653" s="212">
        <v>1</v>
      </c>
    </row>
    <row r="654" spans="91:102" ht="21" customHeight="1">
      <c r="CM654" s="210"/>
      <c r="CN654" s="213" t="s">
        <v>2645</v>
      </c>
      <c r="CO654" s="213" t="s">
        <v>896</v>
      </c>
      <c r="CP654" s="213" t="s">
        <v>879</v>
      </c>
      <c r="CQ654" s="213" t="s">
        <v>2646</v>
      </c>
      <c r="CR654" s="213" t="s">
        <v>2646</v>
      </c>
      <c r="CS654" s="213" t="s">
        <v>1620</v>
      </c>
      <c r="CT654" s="213" t="s">
        <v>1621</v>
      </c>
      <c r="CU654" s="213" t="s">
        <v>2206</v>
      </c>
      <c r="CV654" s="214" t="s">
        <v>2207</v>
      </c>
      <c r="CX654" s="212">
        <v>1</v>
      </c>
    </row>
    <row r="655" spans="91:102" ht="21" customHeight="1">
      <c r="CM655" s="210"/>
      <c r="CN655" s="213" t="s">
        <v>2647</v>
      </c>
      <c r="CO655" s="213" t="s">
        <v>896</v>
      </c>
      <c r="CP655" s="213" t="s">
        <v>879</v>
      </c>
      <c r="CQ655" s="213" t="s">
        <v>2648</v>
      </c>
      <c r="CR655" s="213" t="s">
        <v>2648</v>
      </c>
      <c r="CS655" s="213" t="s">
        <v>1620</v>
      </c>
      <c r="CT655" s="213" t="s">
        <v>1621</v>
      </c>
      <c r="CU655" s="213" t="s">
        <v>2206</v>
      </c>
      <c r="CV655" s="214" t="s">
        <v>2207</v>
      </c>
      <c r="CX655" s="212">
        <v>1</v>
      </c>
    </row>
    <row r="656" spans="91:102" ht="21" customHeight="1">
      <c r="CM656" s="210"/>
      <c r="CN656" s="213" t="s">
        <v>2649</v>
      </c>
      <c r="CO656" s="213" t="s">
        <v>896</v>
      </c>
      <c r="CP656" s="213" t="s">
        <v>879</v>
      </c>
      <c r="CQ656" s="213" t="s">
        <v>2650</v>
      </c>
      <c r="CR656" s="213" t="s">
        <v>2650</v>
      </c>
      <c r="CS656" s="213" t="s">
        <v>1620</v>
      </c>
      <c r="CT656" s="213" t="s">
        <v>1621</v>
      </c>
      <c r="CU656" s="213" t="s">
        <v>2206</v>
      </c>
      <c r="CV656" s="214" t="s">
        <v>2207</v>
      </c>
      <c r="CX656" s="212">
        <v>1</v>
      </c>
    </row>
    <row r="657" spans="91:102" ht="21" customHeight="1">
      <c r="CM657" s="210"/>
      <c r="CN657" s="213" t="s">
        <v>2651</v>
      </c>
      <c r="CO657" s="213" t="s">
        <v>896</v>
      </c>
      <c r="CP657" s="213" t="s">
        <v>879</v>
      </c>
      <c r="CQ657" s="213" t="s">
        <v>2652</v>
      </c>
      <c r="CR657" s="213" t="s">
        <v>2652</v>
      </c>
      <c r="CS657" s="213" t="s">
        <v>1620</v>
      </c>
      <c r="CT657" s="213" t="s">
        <v>1621</v>
      </c>
      <c r="CU657" s="213" t="s">
        <v>2206</v>
      </c>
      <c r="CV657" s="214" t="s">
        <v>2207</v>
      </c>
      <c r="CX657" s="212">
        <v>1</v>
      </c>
    </row>
    <row r="658" spans="91:102" ht="21" customHeight="1">
      <c r="CM658" s="210"/>
      <c r="CN658" s="213" t="s">
        <v>2653</v>
      </c>
      <c r="CO658" s="213" t="s">
        <v>896</v>
      </c>
      <c r="CP658" s="213" t="s">
        <v>879</v>
      </c>
      <c r="CQ658" s="213" t="s">
        <v>2654</v>
      </c>
      <c r="CR658" s="213" t="s">
        <v>2654</v>
      </c>
      <c r="CS658" s="213" t="s">
        <v>1620</v>
      </c>
      <c r="CT658" s="213" t="s">
        <v>1621</v>
      </c>
      <c r="CU658" s="213" t="s">
        <v>2206</v>
      </c>
      <c r="CV658" s="214" t="s">
        <v>2207</v>
      </c>
      <c r="CX658" s="212">
        <v>1</v>
      </c>
    </row>
    <row r="659" spans="91:102" ht="21" customHeight="1">
      <c r="CM659" s="210"/>
      <c r="CN659" s="213" t="s">
        <v>2655</v>
      </c>
      <c r="CO659" s="213" t="s">
        <v>896</v>
      </c>
      <c r="CP659" s="213" t="s">
        <v>879</v>
      </c>
      <c r="CQ659" s="213" t="s">
        <v>2656</v>
      </c>
      <c r="CR659" s="213" t="s">
        <v>2656</v>
      </c>
      <c r="CS659" s="213" t="s">
        <v>1620</v>
      </c>
      <c r="CT659" s="213" t="s">
        <v>1621</v>
      </c>
      <c r="CU659" s="213" t="s">
        <v>2206</v>
      </c>
      <c r="CV659" s="214" t="s">
        <v>2207</v>
      </c>
      <c r="CX659" s="212">
        <v>1</v>
      </c>
    </row>
    <row r="660" spans="91:102" ht="21" customHeight="1">
      <c r="CM660" s="210"/>
      <c r="CN660" s="213" t="s">
        <v>2657</v>
      </c>
      <c r="CO660" s="213" t="s">
        <v>896</v>
      </c>
      <c r="CP660" s="213" t="s">
        <v>879</v>
      </c>
      <c r="CQ660" s="213" t="s">
        <v>2658</v>
      </c>
      <c r="CR660" s="213" t="s">
        <v>2658</v>
      </c>
      <c r="CS660" s="213" t="s">
        <v>1620</v>
      </c>
      <c r="CT660" s="213" t="s">
        <v>1621</v>
      </c>
      <c r="CU660" s="213" t="s">
        <v>2206</v>
      </c>
      <c r="CV660" s="214" t="s">
        <v>2207</v>
      </c>
      <c r="CX660" s="212">
        <v>1</v>
      </c>
    </row>
    <row r="661" spans="91:102" ht="21" customHeight="1">
      <c r="CM661" s="210"/>
      <c r="CN661" s="213" t="s">
        <v>2659</v>
      </c>
      <c r="CO661" s="213" t="s">
        <v>896</v>
      </c>
      <c r="CP661" s="213" t="s">
        <v>879</v>
      </c>
      <c r="CQ661" s="213" t="s">
        <v>2660</v>
      </c>
      <c r="CR661" s="213" t="s">
        <v>2660</v>
      </c>
      <c r="CS661" s="213" t="s">
        <v>1620</v>
      </c>
      <c r="CT661" s="213" t="s">
        <v>1621</v>
      </c>
      <c r="CU661" s="213" t="s">
        <v>2206</v>
      </c>
      <c r="CV661" s="214" t="s">
        <v>2207</v>
      </c>
      <c r="CX661" s="212">
        <v>1</v>
      </c>
    </row>
    <row r="662" spans="91:102" ht="21" customHeight="1">
      <c r="CM662" s="210"/>
      <c r="CN662" s="213" t="s">
        <v>2661</v>
      </c>
      <c r="CO662" s="213" t="s">
        <v>896</v>
      </c>
      <c r="CP662" s="213" t="s">
        <v>879</v>
      </c>
      <c r="CQ662" s="213" t="s">
        <v>2662</v>
      </c>
      <c r="CR662" s="213" t="s">
        <v>2662</v>
      </c>
      <c r="CS662" s="213" t="s">
        <v>1620</v>
      </c>
      <c r="CT662" s="213" t="s">
        <v>1621</v>
      </c>
      <c r="CU662" s="213" t="s">
        <v>2206</v>
      </c>
      <c r="CV662" s="214" t="s">
        <v>2207</v>
      </c>
      <c r="CX662" s="212">
        <v>1</v>
      </c>
    </row>
    <row r="663" spans="91:102" ht="21" customHeight="1">
      <c r="CM663" s="210"/>
      <c r="CN663" s="213" t="s">
        <v>2663</v>
      </c>
      <c r="CO663" s="213" t="s">
        <v>896</v>
      </c>
      <c r="CP663" s="213" t="s">
        <v>879</v>
      </c>
      <c r="CQ663" s="213" t="s">
        <v>2664</v>
      </c>
      <c r="CR663" s="213" t="s">
        <v>2664</v>
      </c>
      <c r="CS663" s="213" t="s">
        <v>1620</v>
      </c>
      <c r="CT663" s="213" t="s">
        <v>1621</v>
      </c>
      <c r="CU663" s="213" t="s">
        <v>2206</v>
      </c>
      <c r="CV663" s="214" t="s">
        <v>2207</v>
      </c>
      <c r="CX663" s="212">
        <v>1</v>
      </c>
    </row>
    <row r="664" spans="91:102" ht="21" customHeight="1">
      <c r="CM664" s="210"/>
      <c r="CN664" s="213" t="s">
        <v>2665</v>
      </c>
      <c r="CO664" s="213" t="s">
        <v>896</v>
      </c>
      <c r="CP664" s="213" t="s">
        <v>879</v>
      </c>
      <c r="CQ664" s="213" t="s">
        <v>2666</v>
      </c>
      <c r="CR664" s="213" t="s">
        <v>2666</v>
      </c>
      <c r="CS664" s="213" t="s">
        <v>1620</v>
      </c>
      <c r="CT664" s="213" t="s">
        <v>1621</v>
      </c>
      <c r="CU664" s="213" t="s">
        <v>2206</v>
      </c>
      <c r="CV664" s="214" t="s">
        <v>2207</v>
      </c>
      <c r="CX664" s="212">
        <v>1</v>
      </c>
    </row>
    <row r="665" spans="91:102" ht="21" customHeight="1">
      <c r="CM665" s="210"/>
      <c r="CN665" s="213" t="s">
        <v>2667</v>
      </c>
      <c r="CO665" s="213" t="s">
        <v>896</v>
      </c>
      <c r="CP665" s="213" t="s">
        <v>879</v>
      </c>
      <c r="CQ665" s="213" t="s">
        <v>2668</v>
      </c>
      <c r="CR665" s="213" t="s">
        <v>2668</v>
      </c>
      <c r="CS665" s="213" t="s">
        <v>1620</v>
      </c>
      <c r="CT665" s="213" t="s">
        <v>1621</v>
      </c>
      <c r="CU665" s="213" t="s">
        <v>2206</v>
      </c>
      <c r="CV665" s="214" t="s">
        <v>2207</v>
      </c>
      <c r="CX665" s="212">
        <v>1</v>
      </c>
    </row>
    <row r="666" spans="91:102" ht="21" customHeight="1">
      <c r="CM666" s="210"/>
      <c r="CN666" s="213" t="s">
        <v>2669</v>
      </c>
      <c r="CO666" s="213" t="s">
        <v>896</v>
      </c>
      <c r="CP666" s="213" t="s">
        <v>879</v>
      </c>
      <c r="CQ666" s="213" t="s">
        <v>2670</v>
      </c>
      <c r="CR666" s="213" t="s">
        <v>2670</v>
      </c>
      <c r="CS666" s="213" t="s">
        <v>1620</v>
      </c>
      <c r="CT666" s="213" t="s">
        <v>1621</v>
      </c>
      <c r="CU666" s="213" t="s">
        <v>2206</v>
      </c>
      <c r="CV666" s="214" t="s">
        <v>2207</v>
      </c>
      <c r="CX666" s="212">
        <v>1</v>
      </c>
    </row>
    <row r="667" spans="91:102" ht="21" customHeight="1">
      <c r="CM667" s="210"/>
      <c r="CN667" s="213" t="s">
        <v>2671</v>
      </c>
      <c r="CO667" s="213" t="s">
        <v>896</v>
      </c>
      <c r="CP667" s="213" t="s">
        <v>879</v>
      </c>
      <c r="CQ667" s="213" t="s">
        <v>2672</v>
      </c>
      <c r="CR667" s="213" t="s">
        <v>2672</v>
      </c>
      <c r="CS667" s="213" t="s">
        <v>1620</v>
      </c>
      <c r="CT667" s="213" t="s">
        <v>1621</v>
      </c>
      <c r="CU667" s="213" t="s">
        <v>2206</v>
      </c>
      <c r="CV667" s="214" t="s">
        <v>2207</v>
      </c>
      <c r="CX667" s="212">
        <v>1</v>
      </c>
    </row>
    <row r="668" spans="91:102" ht="21" customHeight="1">
      <c r="CM668" s="210"/>
      <c r="CN668" s="213" t="s">
        <v>2673</v>
      </c>
      <c r="CO668" s="213" t="s">
        <v>896</v>
      </c>
      <c r="CP668" s="213" t="s">
        <v>879</v>
      </c>
      <c r="CQ668" s="213" t="s">
        <v>2674</v>
      </c>
      <c r="CR668" s="213" t="s">
        <v>2674</v>
      </c>
      <c r="CS668" s="213" t="s">
        <v>1620</v>
      </c>
      <c r="CT668" s="213" t="s">
        <v>1621</v>
      </c>
      <c r="CU668" s="213" t="s">
        <v>2206</v>
      </c>
      <c r="CV668" s="214" t="s">
        <v>2207</v>
      </c>
      <c r="CX668" s="212">
        <v>1</v>
      </c>
    </row>
    <row r="669" spans="91:102" ht="21" customHeight="1">
      <c r="CM669" s="210"/>
      <c r="CN669" s="213" t="s">
        <v>2675</v>
      </c>
      <c r="CO669" s="213" t="s">
        <v>896</v>
      </c>
      <c r="CP669" s="213" t="s">
        <v>879</v>
      </c>
      <c r="CQ669" s="213" t="s">
        <v>2676</v>
      </c>
      <c r="CR669" s="213" t="s">
        <v>2676</v>
      </c>
      <c r="CS669" s="213" t="s">
        <v>1620</v>
      </c>
      <c r="CT669" s="213" t="s">
        <v>1621</v>
      </c>
      <c r="CU669" s="213" t="s">
        <v>2206</v>
      </c>
      <c r="CV669" s="214" t="s">
        <v>2207</v>
      </c>
      <c r="CX669" s="212">
        <v>1</v>
      </c>
    </row>
    <row r="670" spans="91:102" ht="21" customHeight="1">
      <c r="CM670" s="210"/>
      <c r="CN670" s="213" t="s">
        <v>2677</v>
      </c>
      <c r="CO670" s="213" t="s">
        <v>896</v>
      </c>
      <c r="CP670" s="213" t="s">
        <v>879</v>
      </c>
      <c r="CQ670" s="213" t="s">
        <v>2678</v>
      </c>
      <c r="CR670" s="213" t="s">
        <v>2678</v>
      </c>
      <c r="CS670" s="213" t="s">
        <v>1620</v>
      </c>
      <c r="CT670" s="213" t="s">
        <v>1621</v>
      </c>
      <c r="CU670" s="213" t="s">
        <v>2206</v>
      </c>
      <c r="CV670" s="214" t="s">
        <v>2207</v>
      </c>
      <c r="CX670" s="212">
        <v>1</v>
      </c>
    </row>
    <row r="671" spans="91:102" ht="21" customHeight="1">
      <c r="CM671" s="210"/>
      <c r="CN671" s="213" t="s">
        <v>2679</v>
      </c>
      <c r="CO671" s="213" t="s">
        <v>896</v>
      </c>
      <c r="CP671" s="213" t="s">
        <v>879</v>
      </c>
      <c r="CQ671" s="213" t="s">
        <v>2680</v>
      </c>
      <c r="CR671" s="213" t="s">
        <v>2680</v>
      </c>
      <c r="CS671" s="213" t="s">
        <v>1620</v>
      </c>
      <c r="CT671" s="213" t="s">
        <v>1621</v>
      </c>
      <c r="CU671" s="213" t="s">
        <v>2206</v>
      </c>
      <c r="CV671" s="214" t="s">
        <v>2207</v>
      </c>
      <c r="CX671" s="212">
        <v>1</v>
      </c>
    </row>
    <row r="672" spans="91:102" ht="21" customHeight="1">
      <c r="CM672" s="210"/>
      <c r="CN672" s="213" t="s">
        <v>2681</v>
      </c>
      <c r="CO672" s="213" t="s">
        <v>896</v>
      </c>
      <c r="CP672" s="213" t="s">
        <v>879</v>
      </c>
      <c r="CQ672" s="213" t="s">
        <v>2682</v>
      </c>
      <c r="CR672" s="213" t="s">
        <v>2682</v>
      </c>
      <c r="CS672" s="213" t="s">
        <v>1620</v>
      </c>
      <c r="CT672" s="213" t="s">
        <v>1621</v>
      </c>
      <c r="CU672" s="213" t="s">
        <v>2206</v>
      </c>
      <c r="CV672" s="214" t="s">
        <v>2207</v>
      </c>
      <c r="CX672" s="212">
        <v>1</v>
      </c>
    </row>
    <row r="673" spans="91:102" ht="21" customHeight="1">
      <c r="CM673" s="210"/>
      <c r="CN673" s="213" t="s">
        <v>2683</v>
      </c>
      <c r="CO673" s="213" t="s">
        <v>896</v>
      </c>
      <c r="CP673" s="213" t="s">
        <v>879</v>
      </c>
      <c r="CQ673" s="213" t="s">
        <v>2684</v>
      </c>
      <c r="CR673" s="213" t="s">
        <v>2684</v>
      </c>
      <c r="CS673" s="213" t="s">
        <v>1620</v>
      </c>
      <c r="CT673" s="213" t="s">
        <v>1621</v>
      </c>
      <c r="CU673" s="213" t="s">
        <v>2206</v>
      </c>
      <c r="CV673" s="214" t="s">
        <v>2207</v>
      </c>
      <c r="CX673" s="212">
        <v>1</v>
      </c>
    </row>
    <row r="674" spans="91:102" ht="21" customHeight="1">
      <c r="CM674" s="210"/>
      <c r="CN674" s="213" t="s">
        <v>2685</v>
      </c>
      <c r="CO674" s="213" t="s">
        <v>896</v>
      </c>
      <c r="CP674" s="213" t="s">
        <v>879</v>
      </c>
      <c r="CQ674" s="213" t="s">
        <v>2686</v>
      </c>
      <c r="CR674" s="213" t="s">
        <v>2686</v>
      </c>
      <c r="CS674" s="213" t="s">
        <v>1620</v>
      </c>
      <c r="CT674" s="213" t="s">
        <v>1621</v>
      </c>
      <c r="CU674" s="213" t="s">
        <v>2206</v>
      </c>
      <c r="CV674" s="214" t="s">
        <v>2207</v>
      </c>
      <c r="CX674" s="212">
        <v>1</v>
      </c>
    </row>
    <row r="675" spans="91:102" ht="21" customHeight="1">
      <c r="CM675" s="210"/>
      <c r="CN675" s="213" t="s">
        <v>2687</v>
      </c>
      <c r="CO675" s="213" t="s">
        <v>896</v>
      </c>
      <c r="CP675" s="213" t="s">
        <v>879</v>
      </c>
      <c r="CQ675" s="213" t="s">
        <v>2688</v>
      </c>
      <c r="CR675" s="213" t="s">
        <v>2688</v>
      </c>
      <c r="CS675" s="213" t="s">
        <v>1620</v>
      </c>
      <c r="CT675" s="213" t="s">
        <v>1621</v>
      </c>
      <c r="CU675" s="213" t="s">
        <v>2206</v>
      </c>
      <c r="CV675" s="214" t="s">
        <v>2207</v>
      </c>
      <c r="CX675" s="212">
        <v>1</v>
      </c>
    </row>
    <row r="676" spans="91:102" ht="21" customHeight="1">
      <c r="CM676" s="210"/>
      <c r="CN676" s="213" t="s">
        <v>2689</v>
      </c>
      <c r="CO676" s="213" t="s">
        <v>896</v>
      </c>
      <c r="CP676" s="213" t="s">
        <v>879</v>
      </c>
      <c r="CQ676" s="213" t="s">
        <v>2690</v>
      </c>
      <c r="CR676" s="213" t="s">
        <v>2690</v>
      </c>
      <c r="CS676" s="213" t="s">
        <v>1620</v>
      </c>
      <c r="CT676" s="213" t="s">
        <v>1621</v>
      </c>
      <c r="CU676" s="213" t="s">
        <v>2206</v>
      </c>
      <c r="CV676" s="214" t="s">
        <v>2207</v>
      </c>
      <c r="CX676" s="212">
        <v>1</v>
      </c>
    </row>
    <row r="677" spans="91:102" ht="21" customHeight="1">
      <c r="CM677" s="210"/>
      <c r="CN677" s="213" t="s">
        <v>2691</v>
      </c>
      <c r="CO677" s="213" t="s">
        <v>896</v>
      </c>
      <c r="CP677" s="213" t="s">
        <v>879</v>
      </c>
      <c r="CQ677" s="213" t="s">
        <v>2692</v>
      </c>
      <c r="CR677" s="213" t="s">
        <v>2692</v>
      </c>
      <c r="CS677" s="213" t="s">
        <v>1620</v>
      </c>
      <c r="CT677" s="213" t="s">
        <v>1621</v>
      </c>
      <c r="CU677" s="213" t="s">
        <v>2206</v>
      </c>
      <c r="CV677" s="214" t="s">
        <v>2207</v>
      </c>
      <c r="CX677" s="212">
        <v>1</v>
      </c>
    </row>
    <row r="678" spans="91:102" ht="21" customHeight="1">
      <c r="CM678" s="210"/>
      <c r="CN678" s="213" t="s">
        <v>2693</v>
      </c>
      <c r="CO678" s="213" t="s">
        <v>896</v>
      </c>
      <c r="CP678" s="213" t="s">
        <v>879</v>
      </c>
      <c r="CQ678" s="213" t="s">
        <v>2694</v>
      </c>
      <c r="CR678" s="213" t="s">
        <v>2694</v>
      </c>
      <c r="CS678" s="213" t="s">
        <v>1620</v>
      </c>
      <c r="CT678" s="213" t="s">
        <v>1621</v>
      </c>
      <c r="CU678" s="213" t="s">
        <v>2206</v>
      </c>
      <c r="CV678" s="214" t="s">
        <v>2207</v>
      </c>
      <c r="CX678" s="212">
        <v>1</v>
      </c>
    </row>
    <row r="679" spans="91:102" ht="21" customHeight="1">
      <c r="CM679" s="210"/>
      <c r="CN679" s="213" t="s">
        <v>2695</v>
      </c>
      <c r="CO679" s="213" t="s">
        <v>896</v>
      </c>
      <c r="CP679" s="213" t="s">
        <v>879</v>
      </c>
      <c r="CQ679" s="213" t="s">
        <v>2696</v>
      </c>
      <c r="CR679" s="213" t="s">
        <v>2696</v>
      </c>
      <c r="CS679" s="213" t="s">
        <v>1620</v>
      </c>
      <c r="CT679" s="213" t="s">
        <v>1621</v>
      </c>
      <c r="CU679" s="213" t="s">
        <v>2206</v>
      </c>
      <c r="CV679" s="214" t="s">
        <v>2207</v>
      </c>
      <c r="CX679" s="212">
        <v>1</v>
      </c>
    </row>
    <row r="680" spans="91:102" ht="21" customHeight="1">
      <c r="CM680" s="210"/>
      <c r="CN680" s="213" t="s">
        <v>2697</v>
      </c>
      <c r="CO680" s="213" t="s">
        <v>896</v>
      </c>
      <c r="CP680" s="213" t="s">
        <v>879</v>
      </c>
      <c r="CQ680" s="213" t="s">
        <v>2698</v>
      </c>
      <c r="CR680" s="213" t="s">
        <v>2698</v>
      </c>
      <c r="CS680" s="213" t="s">
        <v>1620</v>
      </c>
      <c r="CT680" s="213" t="s">
        <v>1621</v>
      </c>
      <c r="CU680" s="213" t="s">
        <v>2206</v>
      </c>
      <c r="CV680" s="214" t="s">
        <v>2207</v>
      </c>
      <c r="CX680" s="212">
        <v>1</v>
      </c>
    </row>
    <row r="681" spans="91:102" ht="21" customHeight="1">
      <c r="CM681" s="210"/>
      <c r="CN681" s="213" t="s">
        <v>2699</v>
      </c>
      <c r="CO681" s="213" t="s">
        <v>896</v>
      </c>
      <c r="CP681" s="213" t="s">
        <v>879</v>
      </c>
      <c r="CQ681" s="213" t="s">
        <v>2700</v>
      </c>
      <c r="CR681" s="213" t="s">
        <v>2700</v>
      </c>
      <c r="CS681" s="213" t="s">
        <v>1620</v>
      </c>
      <c r="CT681" s="213" t="s">
        <v>1621</v>
      </c>
      <c r="CU681" s="213" t="s">
        <v>2206</v>
      </c>
      <c r="CV681" s="214" t="s">
        <v>2207</v>
      </c>
      <c r="CX681" s="212">
        <v>1</v>
      </c>
    </row>
    <row r="682" spans="91:102" ht="21" customHeight="1">
      <c r="CM682" s="210"/>
      <c r="CN682" s="213" t="s">
        <v>2701</v>
      </c>
      <c r="CO682" s="213" t="s">
        <v>896</v>
      </c>
      <c r="CP682" s="213" t="s">
        <v>879</v>
      </c>
      <c r="CQ682" s="213" t="s">
        <v>2702</v>
      </c>
      <c r="CR682" s="213" t="s">
        <v>2702</v>
      </c>
      <c r="CS682" s="213" t="s">
        <v>1620</v>
      </c>
      <c r="CT682" s="213" t="s">
        <v>1621</v>
      </c>
      <c r="CU682" s="213" t="s">
        <v>2206</v>
      </c>
      <c r="CV682" s="214" t="s">
        <v>2207</v>
      </c>
      <c r="CX682" s="212">
        <v>1</v>
      </c>
    </row>
    <row r="683" spans="91:102" ht="21" customHeight="1">
      <c r="CM683" s="210"/>
      <c r="CN683" s="213" t="s">
        <v>2703</v>
      </c>
      <c r="CO683" s="213" t="s">
        <v>896</v>
      </c>
      <c r="CP683" s="213" t="s">
        <v>879</v>
      </c>
      <c r="CQ683" s="213" t="s">
        <v>2704</v>
      </c>
      <c r="CR683" s="213" t="s">
        <v>2704</v>
      </c>
      <c r="CS683" s="213" t="s">
        <v>1620</v>
      </c>
      <c r="CT683" s="213" t="s">
        <v>1621</v>
      </c>
      <c r="CU683" s="213" t="s">
        <v>2206</v>
      </c>
      <c r="CV683" s="214" t="s">
        <v>2207</v>
      </c>
      <c r="CX683" s="212">
        <v>1</v>
      </c>
    </row>
    <row r="684" spans="91:102" ht="21" customHeight="1">
      <c r="CM684" s="210"/>
      <c r="CN684" s="213" t="s">
        <v>2705</v>
      </c>
      <c r="CO684" s="213" t="s">
        <v>896</v>
      </c>
      <c r="CP684" s="213" t="s">
        <v>879</v>
      </c>
      <c r="CQ684" s="213" t="s">
        <v>2706</v>
      </c>
      <c r="CR684" s="213" t="s">
        <v>2706</v>
      </c>
      <c r="CS684" s="213" t="s">
        <v>1620</v>
      </c>
      <c r="CT684" s="213" t="s">
        <v>1621</v>
      </c>
      <c r="CU684" s="213" t="s">
        <v>2206</v>
      </c>
      <c r="CV684" s="214" t="s">
        <v>2207</v>
      </c>
      <c r="CX684" s="212">
        <v>1</v>
      </c>
    </row>
    <row r="685" spans="91:102" ht="21" customHeight="1">
      <c r="CM685" s="210"/>
      <c r="CN685" s="213" t="s">
        <v>2707</v>
      </c>
      <c r="CO685" s="213" t="s">
        <v>896</v>
      </c>
      <c r="CP685" s="213" t="s">
        <v>879</v>
      </c>
      <c r="CQ685" s="213" t="s">
        <v>2708</v>
      </c>
      <c r="CR685" s="213" t="s">
        <v>2708</v>
      </c>
      <c r="CS685" s="213" t="s">
        <v>1620</v>
      </c>
      <c r="CT685" s="213" t="s">
        <v>1621</v>
      </c>
      <c r="CU685" s="213" t="s">
        <v>2206</v>
      </c>
      <c r="CV685" s="214" t="s">
        <v>2207</v>
      </c>
      <c r="CX685" s="212">
        <v>1</v>
      </c>
    </row>
    <row r="686" spans="91:102" ht="21" customHeight="1">
      <c r="CM686" s="210"/>
      <c r="CN686" s="213" t="s">
        <v>2709</v>
      </c>
      <c r="CO686" s="213" t="s">
        <v>896</v>
      </c>
      <c r="CP686" s="213" t="s">
        <v>879</v>
      </c>
      <c r="CQ686" s="213" t="s">
        <v>2710</v>
      </c>
      <c r="CR686" s="213" t="s">
        <v>2710</v>
      </c>
      <c r="CS686" s="213" t="s">
        <v>1620</v>
      </c>
      <c r="CT686" s="213" t="s">
        <v>1621</v>
      </c>
      <c r="CU686" s="213" t="s">
        <v>2206</v>
      </c>
      <c r="CV686" s="214" t="s">
        <v>2207</v>
      </c>
      <c r="CX686" s="212">
        <v>1</v>
      </c>
    </row>
    <row r="687" spans="91:102" ht="21" customHeight="1">
      <c r="CM687" s="210"/>
      <c r="CN687" s="213" t="s">
        <v>2711</v>
      </c>
      <c r="CO687" s="213" t="s">
        <v>896</v>
      </c>
      <c r="CP687" s="213" t="s">
        <v>879</v>
      </c>
      <c r="CQ687" s="213" t="s">
        <v>2712</v>
      </c>
      <c r="CR687" s="213" t="s">
        <v>2712</v>
      </c>
      <c r="CS687" s="213" t="s">
        <v>1620</v>
      </c>
      <c r="CT687" s="213" t="s">
        <v>1621</v>
      </c>
      <c r="CU687" s="213" t="s">
        <v>2206</v>
      </c>
      <c r="CV687" s="214" t="s">
        <v>2207</v>
      </c>
      <c r="CX687" s="212">
        <v>1</v>
      </c>
    </row>
    <row r="688" spans="91:102" ht="21" customHeight="1">
      <c r="CM688" s="210"/>
      <c r="CN688" s="213" t="s">
        <v>2713</v>
      </c>
      <c r="CO688" s="213" t="s">
        <v>896</v>
      </c>
      <c r="CP688" s="213" t="s">
        <v>879</v>
      </c>
      <c r="CQ688" s="213" t="s">
        <v>2714</v>
      </c>
      <c r="CR688" s="213" t="s">
        <v>2714</v>
      </c>
      <c r="CS688" s="213" t="s">
        <v>1620</v>
      </c>
      <c r="CT688" s="213" t="s">
        <v>1621</v>
      </c>
      <c r="CU688" s="213" t="s">
        <v>2206</v>
      </c>
      <c r="CV688" s="214" t="s">
        <v>2207</v>
      </c>
      <c r="CX688" s="212">
        <v>1</v>
      </c>
    </row>
    <row r="689" spans="91:102" ht="21" customHeight="1">
      <c r="CM689" s="210"/>
      <c r="CN689" s="213" t="s">
        <v>2715</v>
      </c>
      <c r="CO689" s="213" t="s">
        <v>896</v>
      </c>
      <c r="CP689" s="213" t="s">
        <v>879</v>
      </c>
      <c r="CQ689" s="213" t="s">
        <v>2716</v>
      </c>
      <c r="CR689" s="213" t="s">
        <v>2716</v>
      </c>
      <c r="CS689" s="213" t="s">
        <v>1620</v>
      </c>
      <c r="CT689" s="213" t="s">
        <v>1621</v>
      </c>
      <c r="CU689" s="213" t="s">
        <v>2206</v>
      </c>
      <c r="CV689" s="214" t="s">
        <v>2207</v>
      </c>
      <c r="CX689" s="212">
        <v>1</v>
      </c>
    </row>
    <row r="690" spans="91:102" ht="21" customHeight="1">
      <c r="CM690" s="210"/>
      <c r="CN690" s="213" t="s">
        <v>2717</v>
      </c>
      <c r="CO690" s="213" t="s">
        <v>896</v>
      </c>
      <c r="CP690" s="213" t="s">
        <v>879</v>
      </c>
      <c r="CQ690" s="213" t="s">
        <v>2718</v>
      </c>
      <c r="CR690" s="213" t="s">
        <v>2718</v>
      </c>
      <c r="CS690" s="213" t="s">
        <v>1620</v>
      </c>
      <c r="CT690" s="213" t="s">
        <v>1621</v>
      </c>
      <c r="CU690" s="213" t="s">
        <v>2206</v>
      </c>
      <c r="CV690" s="214" t="s">
        <v>2207</v>
      </c>
      <c r="CX690" s="212">
        <v>1</v>
      </c>
    </row>
    <row r="691" spans="91:102" ht="21" customHeight="1">
      <c r="CM691" s="210"/>
      <c r="CN691" s="213" t="s">
        <v>2719</v>
      </c>
      <c r="CO691" s="213" t="s">
        <v>896</v>
      </c>
      <c r="CP691" s="213" t="s">
        <v>879</v>
      </c>
      <c r="CQ691" s="213" t="s">
        <v>2720</v>
      </c>
      <c r="CR691" s="213" t="s">
        <v>2720</v>
      </c>
      <c r="CS691" s="213" t="s">
        <v>1620</v>
      </c>
      <c r="CT691" s="213" t="s">
        <v>1621</v>
      </c>
      <c r="CU691" s="213" t="s">
        <v>2206</v>
      </c>
      <c r="CV691" s="214" t="s">
        <v>2207</v>
      </c>
      <c r="CX691" s="212">
        <v>1</v>
      </c>
    </row>
    <row r="692" spans="91:102" ht="21" customHeight="1">
      <c r="CM692" s="210"/>
      <c r="CN692" s="213" t="s">
        <v>2721</v>
      </c>
      <c r="CO692" s="213" t="s">
        <v>896</v>
      </c>
      <c r="CP692" s="213" t="s">
        <v>879</v>
      </c>
      <c r="CQ692" s="213" t="s">
        <v>2722</v>
      </c>
      <c r="CR692" s="213" t="s">
        <v>2722</v>
      </c>
      <c r="CS692" s="213" t="s">
        <v>1620</v>
      </c>
      <c r="CT692" s="213" t="s">
        <v>1621</v>
      </c>
      <c r="CU692" s="213" t="s">
        <v>2206</v>
      </c>
      <c r="CV692" s="214" t="s">
        <v>2207</v>
      </c>
      <c r="CX692" s="212">
        <v>1</v>
      </c>
    </row>
    <row r="693" spans="91:102" ht="21" customHeight="1">
      <c r="CM693" s="210"/>
      <c r="CN693" s="213" t="s">
        <v>2723</v>
      </c>
      <c r="CO693" s="213" t="s">
        <v>896</v>
      </c>
      <c r="CP693" s="213" t="s">
        <v>879</v>
      </c>
      <c r="CQ693" s="213" t="s">
        <v>2724</v>
      </c>
      <c r="CR693" s="213" t="s">
        <v>2724</v>
      </c>
      <c r="CS693" s="213" t="s">
        <v>1620</v>
      </c>
      <c r="CT693" s="213" t="s">
        <v>1621</v>
      </c>
      <c r="CU693" s="213" t="s">
        <v>2206</v>
      </c>
      <c r="CV693" s="214" t="s">
        <v>2207</v>
      </c>
      <c r="CX693" s="212">
        <v>1</v>
      </c>
    </row>
    <row r="694" spans="91:102" ht="21" customHeight="1">
      <c r="CM694" s="210"/>
      <c r="CN694" s="213" t="s">
        <v>2725</v>
      </c>
      <c r="CO694" s="213" t="s">
        <v>896</v>
      </c>
      <c r="CP694" s="213" t="s">
        <v>879</v>
      </c>
      <c r="CQ694" s="213" t="s">
        <v>2726</v>
      </c>
      <c r="CR694" s="213" t="s">
        <v>2726</v>
      </c>
      <c r="CS694" s="213" t="s">
        <v>1620</v>
      </c>
      <c r="CT694" s="213" t="s">
        <v>1621</v>
      </c>
      <c r="CU694" s="213" t="s">
        <v>2206</v>
      </c>
      <c r="CV694" s="214" t="s">
        <v>2207</v>
      </c>
      <c r="CX694" s="212">
        <v>1</v>
      </c>
    </row>
    <row r="695" spans="91:102" ht="21" customHeight="1">
      <c r="CM695" s="210"/>
      <c r="CN695" s="213" t="s">
        <v>2727</v>
      </c>
      <c r="CO695" s="213" t="s">
        <v>896</v>
      </c>
      <c r="CP695" s="213" t="s">
        <v>879</v>
      </c>
      <c r="CQ695" s="213" t="s">
        <v>2728</v>
      </c>
      <c r="CR695" s="213" t="s">
        <v>2728</v>
      </c>
      <c r="CS695" s="213" t="s">
        <v>1620</v>
      </c>
      <c r="CT695" s="213" t="s">
        <v>1621</v>
      </c>
      <c r="CU695" s="213" t="s">
        <v>2206</v>
      </c>
      <c r="CV695" s="214" t="s">
        <v>2207</v>
      </c>
      <c r="CX695" s="212">
        <v>1</v>
      </c>
    </row>
    <row r="696" spans="91:102" ht="21" customHeight="1">
      <c r="CM696" s="210"/>
      <c r="CN696" s="213" t="s">
        <v>2729</v>
      </c>
      <c r="CO696" s="213" t="s">
        <v>896</v>
      </c>
      <c r="CP696" s="213" t="s">
        <v>879</v>
      </c>
      <c r="CQ696" s="213" t="s">
        <v>2730</v>
      </c>
      <c r="CR696" s="213" t="s">
        <v>2730</v>
      </c>
      <c r="CS696" s="213" t="s">
        <v>1620</v>
      </c>
      <c r="CT696" s="213" t="s">
        <v>1621</v>
      </c>
      <c r="CU696" s="213" t="s">
        <v>2206</v>
      </c>
      <c r="CV696" s="214" t="s">
        <v>2207</v>
      </c>
      <c r="CX696" s="212">
        <v>1</v>
      </c>
    </row>
    <row r="697" spans="91:102" ht="21" customHeight="1">
      <c r="CM697" s="210"/>
      <c r="CN697" s="213" t="s">
        <v>2731</v>
      </c>
      <c r="CO697" s="213" t="s">
        <v>896</v>
      </c>
      <c r="CP697" s="213" t="s">
        <v>879</v>
      </c>
      <c r="CQ697" s="213" t="s">
        <v>2732</v>
      </c>
      <c r="CR697" s="213" t="s">
        <v>2732</v>
      </c>
      <c r="CS697" s="213" t="s">
        <v>1620</v>
      </c>
      <c r="CT697" s="213" t="s">
        <v>1621</v>
      </c>
      <c r="CU697" s="213" t="s">
        <v>2206</v>
      </c>
      <c r="CV697" s="214" t="s">
        <v>2207</v>
      </c>
      <c r="CX697" s="212">
        <v>1</v>
      </c>
    </row>
    <row r="698" spans="91:102" ht="21" customHeight="1">
      <c r="CM698" s="210"/>
      <c r="CN698" s="213" t="s">
        <v>2733</v>
      </c>
      <c r="CO698" s="213" t="s">
        <v>896</v>
      </c>
      <c r="CP698" s="213" t="s">
        <v>879</v>
      </c>
      <c r="CQ698" s="213" t="s">
        <v>2734</v>
      </c>
      <c r="CR698" s="213" t="s">
        <v>2734</v>
      </c>
      <c r="CS698" s="213" t="s">
        <v>1620</v>
      </c>
      <c r="CT698" s="213" t="s">
        <v>1621</v>
      </c>
      <c r="CU698" s="213" t="s">
        <v>2206</v>
      </c>
      <c r="CV698" s="214" t="s">
        <v>2207</v>
      </c>
      <c r="CX698" s="212">
        <v>1</v>
      </c>
    </row>
    <row r="699" spans="91:102" ht="21" customHeight="1">
      <c r="CM699" s="210"/>
      <c r="CN699" s="213" t="s">
        <v>2735</v>
      </c>
      <c r="CO699" s="213" t="s">
        <v>896</v>
      </c>
      <c r="CP699" s="213" t="s">
        <v>879</v>
      </c>
      <c r="CQ699" s="213" t="s">
        <v>2736</v>
      </c>
      <c r="CR699" s="213" t="s">
        <v>2736</v>
      </c>
      <c r="CS699" s="213" t="s">
        <v>1620</v>
      </c>
      <c r="CT699" s="213" t="s">
        <v>1621</v>
      </c>
      <c r="CU699" s="213" t="s">
        <v>2206</v>
      </c>
      <c r="CV699" s="214" t="s">
        <v>2207</v>
      </c>
      <c r="CX699" s="212">
        <v>1</v>
      </c>
    </row>
    <row r="700" spans="91:102" ht="21" customHeight="1">
      <c r="CM700" s="210"/>
      <c r="CN700" s="213" t="s">
        <v>2737</v>
      </c>
      <c r="CO700" s="213" t="s">
        <v>896</v>
      </c>
      <c r="CP700" s="213" t="s">
        <v>879</v>
      </c>
      <c r="CQ700" s="213" t="s">
        <v>2738</v>
      </c>
      <c r="CR700" s="213" t="s">
        <v>2738</v>
      </c>
      <c r="CS700" s="213" t="s">
        <v>1620</v>
      </c>
      <c r="CT700" s="213" t="s">
        <v>1621</v>
      </c>
      <c r="CU700" s="213" t="s">
        <v>2206</v>
      </c>
      <c r="CV700" s="214" t="s">
        <v>2207</v>
      </c>
      <c r="CX700" s="212">
        <v>1</v>
      </c>
    </row>
    <row r="701" spans="91:102" ht="21" customHeight="1">
      <c r="CM701" s="210"/>
      <c r="CN701" s="213" t="s">
        <v>2739</v>
      </c>
      <c r="CO701" s="213" t="s">
        <v>896</v>
      </c>
      <c r="CP701" s="213" t="s">
        <v>879</v>
      </c>
      <c r="CQ701" s="213" t="s">
        <v>2740</v>
      </c>
      <c r="CR701" s="213" t="s">
        <v>2740</v>
      </c>
      <c r="CS701" s="213" t="s">
        <v>1620</v>
      </c>
      <c r="CT701" s="213" t="s">
        <v>1621</v>
      </c>
      <c r="CU701" s="213" t="s">
        <v>2206</v>
      </c>
      <c r="CV701" s="214" t="s">
        <v>2207</v>
      </c>
      <c r="CX701" s="212">
        <v>1</v>
      </c>
    </row>
    <row r="702" spans="91:102" ht="21" customHeight="1">
      <c r="CM702" s="210"/>
      <c r="CN702" s="213" t="s">
        <v>2741</v>
      </c>
      <c r="CO702" s="213" t="s">
        <v>896</v>
      </c>
      <c r="CP702" s="213" t="s">
        <v>879</v>
      </c>
      <c r="CQ702" s="213" t="s">
        <v>2742</v>
      </c>
      <c r="CR702" s="213" t="s">
        <v>2742</v>
      </c>
      <c r="CS702" s="213" t="s">
        <v>1620</v>
      </c>
      <c r="CT702" s="213" t="s">
        <v>1621</v>
      </c>
      <c r="CU702" s="213" t="s">
        <v>2206</v>
      </c>
      <c r="CV702" s="214" t="s">
        <v>2207</v>
      </c>
      <c r="CX702" s="212">
        <v>1</v>
      </c>
    </row>
    <row r="703" spans="91:102" ht="21" customHeight="1">
      <c r="CM703" s="210"/>
      <c r="CN703" s="213" t="s">
        <v>2743</v>
      </c>
      <c r="CO703" s="213" t="s">
        <v>896</v>
      </c>
      <c r="CP703" s="213" t="s">
        <v>879</v>
      </c>
      <c r="CQ703" s="213" t="s">
        <v>2744</v>
      </c>
      <c r="CR703" s="213" t="s">
        <v>2744</v>
      </c>
      <c r="CS703" s="213" t="s">
        <v>1620</v>
      </c>
      <c r="CT703" s="213" t="s">
        <v>1621</v>
      </c>
      <c r="CU703" s="213" t="s">
        <v>2206</v>
      </c>
      <c r="CV703" s="214" t="s">
        <v>2207</v>
      </c>
      <c r="CX703" s="212">
        <v>1</v>
      </c>
    </row>
    <row r="704" spans="91:102" ht="21" customHeight="1">
      <c r="CM704" s="210"/>
      <c r="CN704" s="213" t="s">
        <v>2745</v>
      </c>
      <c r="CO704" s="213" t="s">
        <v>896</v>
      </c>
      <c r="CP704" s="213" t="s">
        <v>879</v>
      </c>
      <c r="CQ704" s="213" t="s">
        <v>2746</v>
      </c>
      <c r="CR704" s="213" t="s">
        <v>2746</v>
      </c>
      <c r="CS704" s="213" t="s">
        <v>1620</v>
      </c>
      <c r="CT704" s="213" t="s">
        <v>1621</v>
      </c>
      <c r="CU704" s="213" t="s">
        <v>2206</v>
      </c>
      <c r="CV704" s="214" t="s">
        <v>2207</v>
      </c>
      <c r="CX704" s="212">
        <v>1</v>
      </c>
    </row>
    <row r="705" spans="91:102" ht="21" customHeight="1">
      <c r="CM705" s="210"/>
      <c r="CN705" s="213" t="s">
        <v>2747</v>
      </c>
      <c r="CO705" s="213" t="s">
        <v>896</v>
      </c>
      <c r="CP705" s="213" t="s">
        <v>879</v>
      </c>
      <c r="CQ705" s="213" t="s">
        <v>2748</v>
      </c>
      <c r="CR705" s="213" t="s">
        <v>2748</v>
      </c>
      <c r="CS705" s="213" t="s">
        <v>1620</v>
      </c>
      <c r="CT705" s="213" t="s">
        <v>1621</v>
      </c>
      <c r="CU705" s="213" t="s">
        <v>2206</v>
      </c>
      <c r="CV705" s="214" t="s">
        <v>2207</v>
      </c>
      <c r="CX705" s="212">
        <v>1</v>
      </c>
    </row>
    <row r="706" spans="91:102" ht="21" customHeight="1">
      <c r="CM706" s="210"/>
      <c r="CN706" s="213" t="s">
        <v>2749</v>
      </c>
      <c r="CO706" s="213" t="s">
        <v>896</v>
      </c>
      <c r="CP706" s="213" t="s">
        <v>879</v>
      </c>
      <c r="CQ706" s="213" t="s">
        <v>2750</v>
      </c>
      <c r="CR706" s="213" t="s">
        <v>2750</v>
      </c>
      <c r="CS706" s="213" t="s">
        <v>1620</v>
      </c>
      <c r="CT706" s="213" t="s">
        <v>1621</v>
      </c>
      <c r="CU706" s="213" t="s">
        <v>2206</v>
      </c>
      <c r="CV706" s="214" t="s">
        <v>2207</v>
      </c>
      <c r="CX706" s="212">
        <v>1</v>
      </c>
    </row>
    <row r="707" spans="91:102" ht="21" customHeight="1">
      <c r="CM707" s="210"/>
      <c r="CN707" s="213" t="s">
        <v>2751</v>
      </c>
      <c r="CO707" s="213" t="s">
        <v>896</v>
      </c>
      <c r="CP707" s="213" t="s">
        <v>879</v>
      </c>
      <c r="CQ707" s="213" t="s">
        <v>2752</v>
      </c>
      <c r="CR707" s="213" t="s">
        <v>2752</v>
      </c>
      <c r="CS707" s="213" t="s">
        <v>1620</v>
      </c>
      <c r="CT707" s="213" t="s">
        <v>1621</v>
      </c>
      <c r="CU707" s="213" t="s">
        <v>2206</v>
      </c>
      <c r="CV707" s="214" t="s">
        <v>2207</v>
      </c>
      <c r="CX707" s="212">
        <v>1</v>
      </c>
    </row>
    <row r="708" spans="91:102" ht="21" customHeight="1">
      <c r="CM708" s="210"/>
      <c r="CN708" s="213" t="s">
        <v>2753</v>
      </c>
      <c r="CO708" s="213" t="s">
        <v>896</v>
      </c>
      <c r="CP708" s="213" t="s">
        <v>879</v>
      </c>
      <c r="CQ708" s="213" t="s">
        <v>2754</v>
      </c>
      <c r="CR708" s="213" t="s">
        <v>2754</v>
      </c>
      <c r="CS708" s="213" t="s">
        <v>1620</v>
      </c>
      <c r="CT708" s="213" t="s">
        <v>1621</v>
      </c>
      <c r="CU708" s="213" t="s">
        <v>2206</v>
      </c>
      <c r="CV708" s="214" t="s">
        <v>2207</v>
      </c>
      <c r="CX708" s="212">
        <v>1</v>
      </c>
    </row>
    <row r="709" spans="91:102" ht="21" customHeight="1">
      <c r="CM709" s="210"/>
      <c r="CN709" s="213" t="s">
        <v>2755</v>
      </c>
      <c r="CO709" s="213" t="s">
        <v>896</v>
      </c>
      <c r="CP709" s="213" t="s">
        <v>879</v>
      </c>
      <c r="CQ709" s="213" t="s">
        <v>2756</v>
      </c>
      <c r="CR709" s="213" t="s">
        <v>2756</v>
      </c>
      <c r="CS709" s="213" t="s">
        <v>1620</v>
      </c>
      <c r="CT709" s="213" t="s">
        <v>1621</v>
      </c>
      <c r="CU709" s="213" t="s">
        <v>2206</v>
      </c>
      <c r="CV709" s="214" t="s">
        <v>2207</v>
      </c>
      <c r="CX709" s="212">
        <v>1</v>
      </c>
    </row>
    <row r="710" spans="91:102" ht="21" customHeight="1">
      <c r="CM710" s="210"/>
      <c r="CN710" s="213" t="s">
        <v>2757</v>
      </c>
      <c r="CO710" s="213" t="s">
        <v>896</v>
      </c>
      <c r="CP710" s="213" t="s">
        <v>879</v>
      </c>
      <c r="CQ710" s="213" t="s">
        <v>2758</v>
      </c>
      <c r="CR710" s="213" t="s">
        <v>2758</v>
      </c>
      <c r="CS710" s="213" t="s">
        <v>1620</v>
      </c>
      <c r="CT710" s="213" t="s">
        <v>1621</v>
      </c>
      <c r="CU710" s="213" t="s">
        <v>2206</v>
      </c>
      <c r="CV710" s="214" t="s">
        <v>2207</v>
      </c>
      <c r="CX710" s="212">
        <v>1</v>
      </c>
    </row>
    <row r="711" spans="91:102" ht="21" customHeight="1">
      <c r="CM711" s="210"/>
      <c r="CN711" s="213" t="s">
        <v>2759</v>
      </c>
      <c r="CO711" s="213" t="s">
        <v>896</v>
      </c>
      <c r="CP711" s="213" t="s">
        <v>879</v>
      </c>
      <c r="CQ711" s="213" t="s">
        <v>2760</v>
      </c>
      <c r="CR711" s="213" t="s">
        <v>2760</v>
      </c>
      <c r="CS711" s="213" t="s">
        <v>1620</v>
      </c>
      <c r="CT711" s="213" t="s">
        <v>1621</v>
      </c>
      <c r="CU711" s="213" t="s">
        <v>2206</v>
      </c>
      <c r="CV711" s="214" t="s">
        <v>2207</v>
      </c>
      <c r="CX711" s="212">
        <v>1</v>
      </c>
    </row>
    <row r="712" spans="91:102" ht="21" customHeight="1">
      <c r="CM712" s="210"/>
      <c r="CN712" s="213" t="s">
        <v>2761</v>
      </c>
      <c r="CO712" s="213" t="s">
        <v>896</v>
      </c>
      <c r="CP712" s="213" t="s">
        <v>879</v>
      </c>
      <c r="CQ712" s="213" t="s">
        <v>2762</v>
      </c>
      <c r="CR712" s="213" t="s">
        <v>2762</v>
      </c>
      <c r="CS712" s="213" t="s">
        <v>1620</v>
      </c>
      <c r="CT712" s="213" t="s">
        <v>1621</v>
      </c>
      <c r="CU712" s="213" t="s">
        <v>2206</v>
      </c>
      <c r="CV712" s="214" t="s">
        <v>2207</v>
      </c>
      <c r="CX712" s="212">
        <v>1</v>
      </c>
    </row>
    <row r="713" spans="91:102" ht="21" customHeight="1">
      <c r="CM713" s="210"/>
      <c r="CN713" s="213" t="s">
        <v>2763</v>
      </c>
      <c r="CO713" s="213" t="s">
        <v>896</v>
      </c>
      <c r="CP713" s="213" t="s">
        <v>879</v>
      </c>
      <c r="CQ713" s="213" t="s">
        <v>2764</v>
      </c>
      <c r="CR713" s="213" t="s">
        <v>2764</v>
      </c>
      <c r="CS713" s="213" t="s">
        <v>1620</v>
      </c>
      <c r="CT713" s="213" t="s">
        <v>1621</v>
      </c>
      <c r="CU713" s="213" t="s">
        <v>2206</v>
      </c>
      <c r="CV713" s="214" t="s">
        <v>2207</v>
      </c>
      <c r="CX713" s="212">
        <v>1</v>
      </c>
    </row>
    <row r="714" spans="91:102" ht="21" customHeight="1">
      <c r="CM714" s="210"/>
      <c r="CN714" s="213" t="s">
        <v>2765</v>
      </c>
      <c r="CO714" s="213" t="s">
        <v>896</v>
      </c>
      <c r="CP714" s="213" t="s">
        <v>879</v>
      </c>
      <c r="CQ714" s="213" t="s">
        <v>2766</v>
      </c>
      <c r="CR714" s="213" t="s">
        <v>2766</v>
      </c>
      <c r="CS714" s="213" t="s">
        <v>1620</v>
      </c>
      <c r="CT714" s="213" t="s">
        <v>1621</v>
      </c>
      <c r="CU714" s="213" t="s">
        <v>2206</v>
      </c>
      <c r="CV714" s="214" t="s">
        <v>2207</v>
      </c>
      <c r="CX714" s="212">
        <v>1</v>
      </c>
    </row>
    <row r="715" spans="91:102" ht="21" customHeight="1">
      <c r="CM715" s="210"/>
      <c r="CN715" s="213" t="s">
        <v>2767</v>
      </c>
      <c r="CO715" s="213" t="s">
        <v>896</v>
      </c>
      <c r="CP715" s="213" t="s">
        <v>879</v>
      </c>
      <c r="CQ715" s="213" t="s">
        <v>2768</v>
      </c>
      <c r="CR715" s="213" t="s">
        <v>2768</v>
      </c>
      <c r="CS715" s="213" t="s">
        <v>1620</v>
      </c>
      <c r="CT715" s="213" t="s">
        <v>1621</v>
      </c>
      <c r="CU715" s="213" t="s">
        <v>2206</v>
      </c>
      <c r="CV715" s="214" t="s">
        <v>2207</v>
      </c>
      <c r="CX715" s="212">
        <v>1</v>
      </c>
    </row>
    <row r="716" spans="91:102" ht="21" customHeight="1">
      <c r="CM716" s="210"/>
      <c r="CN716" s="213" t="s">
        <v>2769</v>
      </c>
      <c r="CO716" s="213" t="s">
        <v>896</v>
      </c>
      <c r="CP716" s="213" t="s">
        <v>879</v>
      </c>
      <c r="CQ716" s="213" t="s">
        <v>2770</v>
      </c>
      <c r="CR716" s="213" t="s">
        <v>2770</v>
      </c>
      <c r="CS716" s="213" t="s">
        <v>1620</v>
      </c>
      <c r="CT716" s="213" t="s">
        <v>1621</v>
      </c>
      <c r="CU716" s="213" t="s">
        <v>2206</v>
      </c>
      <c r="CV716" s="214" t="s">
        <v>2207</v>
      </c>
      <c r="CX716" s="212">
        <v>1</v>
      </c>
    </row>
    <row r="717" spans="91:102" ht="21" customHeight="1">
      <c r="CM717" s="210"/>
      <c r="CN717" s="213" t="s">
        <v>2771</v>
      </c>
      <c r="CO717" s="213" t="s">
        <v>896</v>
      </c>
      <c r="CP717" s="213" t="s">
        <v>879</v>
      </c>
      <c r="CQ717" s="213" t="s">
        <v>2772</v>
      </c>
      <c r="CR717" s="213" t="s">
        <v>2772</v>
      </c>
      <c r="CS717" s="213" t="s">
        <v>1620</v>
      </c>
      <c r="CT717" s="213" t="s">
        <v>1621</v>
      </c>
      <c r="CU717" s="213" t="s">
        <v>2206</v>
      </c>
      <c r="CV717" s="214" t="s">
        <v>2207</v>
      </c>
      <c r="CX717" s="212">
        <v>1</v>
      </c>
    </row>
    <row r="718" spans="91:102" ht="21" customHeight="1">
      <c r="CM718" s="210"/>
      <c r="CN718" s="213" t="s">
        <v>2773</v>
      </c>
      <c r="CO718" s="213" t="s">
        <v>896</v>
      </c>
      <c r="CP718" s="213" t="s">
        <v>879</v>
      </c>
      <c r="CQ718" s="213" t="s">
        <v>2774</v>
      </c>
      <c r="CR718" s="213" t="s">
        <v>2774</v>
      </c>
      <c r="CS718" s="213" t="s">
        <v>1620</v>
      </c>
      <c r="CT718" s="213" t="s">
        <v>1621</v>
      </c>
      <c r="CU718" s="213" t="s">
        <v>2206</v>
      </c>
      <c r="CV718" s="214" t="s">
        <v>2207</v>
      </c>
      <c r="CX718" s="212">
        <v>1</v>
      </c>
    </row>
    <row r="719" spans="91:102" ht="21" customHeight="1">
      <c r="CM719" s="210"/>
      <c r="CN719" s="213" t="s">
        <v>2775</v>
      </c>
      <c r="CO719" s="213" t="s">
        <v>896</v>
      </c>
      <c r="CP719" s="213" t="s">
        <v>879</v>
      </c>
      <c r="CQ719" s="213" t="s">
        <v>2776</v>
      </c>
      <c r="CR719" s="213" t="s">
        <v>2776</v>
      </c>
      <c r="CS719" s="213" t="s">
        <v>1620</v>
      </c>
      <c r="CT719" s="213" t="s">
        <v>1621</v>
      </c>
      <c r="CU719" s="213" t="s">
        <v>2206</v>
      </c>
      <c r="CV719" s="214" t="s">
        <v>2207</v>
      </c>
      <c r="CX719" s="212">
        <v>1</v>
      </c>
    </row>
    <row r="720" spans="91:102" ht="21" customHeight="1">
      <c r="CM720" s="210"/>
      <c r="CN720" s="213" t="s">
        <v>2777</v>
      </c>
      <c r="CO720" s="213" t="s">
        <v>896</v>
      </c>
      <c r="CP720" s="213" t="s">
        <v>879</v>
      </c>
      <c r="CQ720" s="213" t="s">
        <v>2778</v>
      </c>
      <c r="CR720" s="213" t="s">
        <v>2778</v>
      </c>
      <c r="CS720" s="213" t="s">
        <v>1620</v>
      </c>
      <c r="CT720" s="213" t="s">
        <v>1621</v>
      </c>
      <c r="CU720" s="213" t="s">
        <v>2206</v>
      </c>
      <c r="CV720" s="214" t="s">
        <v>2207</v>
      </c>
      <c r="CX720" s="212">
        <v>1</v>
      </c>
    </row>
    <row r="721" spans="91:102" ht="21" customHeight="1">
      <c r="CM721" s="210"/>
      <c r="CN721" s="213" t="s">
        <v>2779</v>
      </c>
      <c r="CO721" s="213" t="s">
        <v>896</v>
      </c>
      <c r="CP721" s="213" t="s">
        <v>879</v>
      </c>
      <c r="CQ721" s="213" t="s">
        <v>2780</v>
      </c>
      <c r="CR721" s="213" t="s">
        <v>2780</v>
      </c>
      <c r="CS721" s="213" t="s">
        <v>1620</v>
      </c>
      <c r="CT721" s="213" t="s">
        <v>1621</v>
      </c>
      <c r="CU721" s="213" t="s">
        <v>2206</v>
      </c>
      <c r="CV721" s="214" t="s">
        <v>2207</v>
      </c>
      <c r="CX721" s="212">
        <v>1</v>
      </c>
    </row>
    <row r="722" spans="91:102" ht="21" customHeight="1">
      <c r="CM722" s="210"/>
      <c r="CN722" s="213" t="s">
        <v>2781</v>
      </c>
      <c r="CO722" s="213" t="s">
        <v>896</v>
      </c>
      <c r="CP722" s="213" t="s">
        <v>879</v>
      </c>
      <c r="CQ722" s="213" t="s">
        <v>2782</v>
      </c>
      <c r="CR722" s="213" t="s">
        <v>2782</v>
      </c>
      <c r="CS722" s="213" t="s">
        <v>1620</v>
      </c>
      <c r="CT722" s="213" t="s">
        <v>1621</v>
      </c>
      <c r="CU722" s="213" t="s">
        <v>2206</v>
      </c>
      <c r="CV722" s="214" t="s">
        <v>2207</v>
      </c>
      <c r="CX722" s="212">
        <v>1</v>
      </c>
    </row>
    <row r="723" spans="91:102" ht="21" customHeight="1">
      <c r="CM723" s="210"/>
      <c r="CN723" s="213" t="s">
        <v>2783</v>
      </c>
      <c r="CO723" s="213" t="s">
        <v>896</v>
      </c>
      <c r="CP723" s="213" t="s">
        <v>879</v>
      </c>
      <c r="CQ723" s="213" t="s">
        <v>2784</v>
      </c>
      <c r="CR723" s="213" t="s">
        <v>2784</v>
      </c>
      <c r="CS723" s="213" t="s">
        <v>1620</v>
      </c>
      <c r="CT723" s="213" t="s">
        <v>1621</v>
      </c>
      <c r="CU723" s="213" t="s">
        <v>2206</v>
      </c>
      <c r="CV723" s="214" t="s">
        <v>2207</v>
      </c>
      <c r="CX723" s="212">
        <v>1</v>
      </c>
    </row>
    <row r="724" spans="91:102" ht="21" customHeight="1">
      <c r="CM724" s="210"/>
      <c r="CN724" s="213" t="s">
        <v>2785</v>
      </c>
      <c r="CO724" s="213" t="s">
        <v>896</v>
      </c>
      <c r="CP724" s="213" t="s">
        <v>879</v>
      </c>
      <c r="CQ724" s="213" t="s">
        <v>2786</v>
      </c>
      <c r="CR724" s="213" t="s">
        <v>2786</v>
      </c>
      <c r="CS724" s="213" t="s">
        <v>1620</v>
      </c>
      <c r="CT724" s="213" t="s">
        <v>1621</v>
      </c>
      <c r="CU724" s="213" t="s">
        <v>2206</v>
      </c>
      <c r="CV724" s="214" t="s">
        <v>2207</v>
      </c>
      <c r="CX724" s="212">
        <v>1</v>
      </c>
    </row>
    <row r="725" spans="91:102" ht="21" customHeight="1">
      <c r="CM725" s="210"/>
      <c r="CN725" s="213" t="s">
        <v>2787</v>
      </c>
      <c r="CO725" s="213" t="s">
        <v>896</v>
      </c>
      <c r="CP725" s="213" t="s">
        <v>879</v>
      </c>
      <c r="CQ725" s="213" t="s">
        <v>2788</v>
      </c>
      <c r="CR725" s="213" t="s">
        <v>2788</v>
      </c>
      <c r="CS725" s="213" t="s">
        <v>1620</v>
      </c>
      <c r="CT725" s="213" t="s">
        <v>1621</v>
      </c>
      <c r="CU725" s="213" t="s">
        <v>2206</v>
      </c>
      <c r="CV725" s="214" t="s">
        <v>2207</v>
      </c>
      <c r="CX725" s="212">
        <v>1</v>
      </c>
    </row>
    <row r="726" spans="91:102" ht="21" customHeight="1">
      <c r="CM726" s="210"/>
      <c r="CN726" s="213" t="s">
        <v>2789</v>
      </c>
      <c r="CO726" s="213" t="s">
        <v>896</v>
      </c>
      <c r="CP726" s="213" t="s">
        <v>879</v>
      </c>
      <c r="CQ726" s="213" t="s">
        <v>2790</v>
      </c>
      <c r="CR726" s="213" t="s">
        <v>2790</v>
      </c>
      <c r="CS726" s="213" t="s">
        <v>1620</v>
      </c>
      <c r="CT726" s="213" t="s">
        <v>1621</v>
      </c>
      <c r="CU726" s="213" t="s">
        <v>2206</v>
      </c>
      <c r="CV726" s="214" t="s">
        <v>2207</v>
      </c>
      <c r="CX726" s="212">
        <v>1</v>
      </c>
    </row>
    <row r="727" spans="91:102" ht="21" customHeight="1">
      <c r="CM727" s="210"/>
      <c r="CN727" s="213" t="s">
        <v>2791</v>
      </c>
      <c r="CO727" s="213" t="s">
        <v>896</v>
      </c>
      <c r="CP727" s="213" t="s">
        <v>879</v>
      </c>
      <c r="CQ727" s="213" t="s">
        <v>2792</v>
      </c>
      <c r="CR727" s="213" t="s">
        <v>2792</v>
      </c>
      <c r="CS727" s="213" t="s">
        <v>1620</v>
      </c>
      <c r="CT727" s="213" t="s">
        <v>1621</v>
      </c>
      <c r="CU727" s="213" t="s">
        <v>2206</v>
      </c>
      <c r="CV727" s="214" t="s">
        <v>2207</v>
      </c>
      <c r="CX727" s="212">
        <v>1</v>
      </c>
    </row>
    <row r="728" spans="91:102" ht="21" customHeight="1">
      <c r="CM728" s="210"/>
      <c r="CN728" s="213" t="s">
        <v>2793</v>
      </c>
      <c r="CO728" s="213" t="s">
        <v>896</v>
      </c>
      <c r="CP728" s="213" t="s">
        <v>879</v>
      </c>
      <c r="CQ728" s="213" t="s">
        <v>2794</v>
      </c>
      <c r="CR728" s="213" t="s">
        <v>2794</v>
      </c>
      <c r="CS728" s="213" t="s">
        <v>1620</v>
      </c>
      <c r="CT728" s="213" t="s">
        <v>1621</v>
      </c>
      <c r="CU728" s="213" t="s">
        <v>2206</v>
      </c>
      <c r="CV728" s="214" t="s">
        <v>2207</v>
      </c>
      <c r="CX728" s="212">
        <v>1</v>
      </c>
    </row>
    <row r="729" spans="91:102" ht="21" customHeight="1">
      <c r="CM729" s="210"/>
      <c r="CN729" s="213" t="s">
        <v>2795</v>
      </c>
      <c r="CO729" s="213" t="s">
        <v>896</v>
      </c>
      <c r="CP729" s="213" t="s">
        <v>879</v>
      </c>
      <c r="CQ729" s="213" t="s">
        <v>2796</v>
      </c>
      <c r="CR729" s="213" t="s">
        <v>2796</v>
      </c>
      <c r="CS729" s="213" t="s">
        <v>881</v>
      </c>
      <c r="CT729" s="213" t="s">
        <v>2289</v>
      </c>
      <c r="CU729" s="213" t="s">
        <v>883</v>
      </c>
      <c r="CV729" s="214" t="s">
        <v>884</v>
      </c>
      <c r="CX729" s="212">
        <v>1</v>
      </c>
    </row>
    <row r="730" spans="91:102" ht="21" customHeight="1">
      <c r="CM730" s="210"/>
      <c r="CN730" s="213" t="s">
        <v>2797</v>
      </c>
      <c r="CO730" s="213" t="s">
        <v>896</v>
      </c>
      <c r="CP730" s="213" t="s">
        <v>879</v>
      </c>
      <c r="CQ730" s="213" t="s">
        <v>2798</v>
      </c>
      <c r="CR730" s="213" t="s">
        <v>2798</v>
      </c>
      <c r="CS730" s="213" t="s">
        <v>1620</v>
      </c>
      <c r="CT730" s="213" t="s">
        <v>1621</v>
      </c>
      <c r="CU730" s="213" t="s">
        <v>2206</v>
      </c>
      <c r="CV730" s="214" t="s">
        <v>2207</v>
      </c>
      <c r="CX730" s="212">
        <v>1</v>
      </c>
    </row>
    <row r="731" spans="91:102" ht="21" customHeight="1">
      <c r="CM731" s="210"/>
      <c r="CN731" s="213" t="s">
        <v>2799</v>
      </c>
      <c r="CO731" s="213" t="s">
        <v>896</v>
      </c>
      <c r="CP731" s="213" t="s">
        <v>879</v>
      </c>
      <c r="CQ731" s="213" t="s">
        <v>2800</v>
      </c>
      <c r="CR731" s="213" t="s">
        <v>2800</v>
      </c>
      <c r="CS731" s="213" t="s">
        <v>1620</v>
      </c>
      <c r="CT731" s="213" t="s">
        <v>1621</v>
      </c>
      <c r="CU731" s="213" t="s">
        <v>2206</v>
      </c>
      <c r="CV731" s="214" t="s">
        <v>2207</v>
      </c>
      <c r="CX731" s="212">
        <v>1</v>
      </c>
    </row>
    <row r="732" spans="91:102" ht="21" customHeight="1">
      <c r="CM732" s="210"/>
      <c r="CN732" s="213" t="s">
        <v>2801</v>
      </c>
      <c r="CO732" s="213" t="s">
        <v>896</v>
      </c>
      <c r="CP732" s="213" t="s">
        <v>879</v>
      </c>
      <c r="CQ732" s="213" t="s">
        <v>2802</v>
      </c>
      <c r="CR732" s="213" t="s">
        <v>2802</v>
      </c>
      <c r="CS732" s="213" t="s">
        <v>1620</v>
      </c>
      <c r="CT732" s="213" t="s">
        <v>1621</v>
      </c>
      <c r="CU732" s="213" t="s">
        <v>2206</v>
      </c>
      <c r="CV732" s="214" t="s">
        <v>2207</v>
      </c>
      <c r="CX732" s="212">
        <v>1</v>
      </c>
    </row>
    <row r="733" spans="91:102" ht="21" customHeight="1">
      <c r="CM733" s="210"/>
      <c r="CN733" s="213" t="s">
        <v>2803</v>
      </c>
      <c r="CO733" s="213" t="s">
        <v>896</v>
      </c>
      <c r="CP733" s="213" t="s">
        <v>879</v>
      </c>
      <c r="CQ733" s="213" t="s">
        <v>2804</v>
      </c>
      <c r="CR733" s="213" t="s">
        <v>2804</v>
      </c>
      <c r="CS733" s="213" t="s">
        <v>1620</v>
      </c>
      <c r="CT733" s="213" t="s">
        <v>1621</v>
      </c>
      <c r="CU733" s="213" t="s">
        <v>2206</v>
      </c>
      <c r="CV733" s="214" t="s">
        <v>2207</v>
      </c>
      <c r="CX733" s="212">
        <v>1</v>
      </c>
    </row>
    <row r="734" spans="91:102" ht="21" customHeight="1">
      <c r="CM734" s="210"/>
      <c r="CN734" s="213" t="s">
        <v>2805</v>
      </c>
      <c r="CO734" s="213" t="s">
        <v>896</v>
      </c>
      <c r="CP734" s="213" t="s">
        <v>879</v>
      </c>
      <c r="CQ734" s="213" t="s">
        <v>2806</v>
      </c>
      <c r="CR734" s="213" t="s">
        <v>2806</v>
      </c>
      <c r="CS734" s="213" t="s">
        <v>1620</v>
      </c>
      <c r="CT734" s="213" t="s">
        <v>1621</v>
      </c>
      <c r="CU734" s="213" t="s">
        <v>2206</v>
      </c>
      <c r="CV734" s="214" t="s">
        <v>2207</v>
      </c>
      <c r="CX734" s="212">
        <v>1</v>
      </c>
    </row>
    <row r="735" spans="91:102" ht="21" customHeight="1">
      <c r="CM735" s="210"/>
      <c r="CN735" s="213" t="s">
        <v>2807</v>
      </c>
      <c r="CO735" s="213" t="s">
        <v>896</v>
      </c>
      <c r="CP735" s="213" t="s">
        <v>879</v>
      </c>
      <c r="CQ735" s="213" t="s">
        <v>2808</v>
      </c>
      <c r="CR735" s="213" t="s">
        <v>2808</v>
      </c>
      <c r="CS735" s="213" t="s">
        <v>881</v>
      </c>
      <c r="CT735" s="213" t="s">
        <v>2289</v>
      </c>
      <c r="CU735" s="213" t="s">
        <v>883</v>
      </c>
      <c r="CV735" s="214" t="s">
        <v>884</v>
      </c>
      <c r="CX735" s="212">
        <v>1</v>
      </c>
    </row>
    <row r="736" spans="91:102" ht="21" customHeight="1">
      <c r="CM736" s="210"/>
      <c r="CN736" s="213" t="s">
        <v>2809</v>
      </c>
      <c r="CO736" s="213" t="s">
        <v>896</v>
      </c>
      <c r="CP736" s="213" t="s">
        <v>879</v>
      </c>
      <c r="CQ736" s="213" t="s">
        <v>2810</v>
      </c>
      <c r="CR736" s="213" t="s">
        <v>2810</v>
      </c>
      <c r="CS736" s="213" t="s">
        <v>971</v>
      </c>
      <c r="CT736" s="213" t="s">
        <v>972</v>
      </c>
      <c r="CU736" s="213" t="s">
        <v>883</v>
      </c>
      <c r="CV736" s="214" t="s">
        <v>973</v>
      </c>
      <c r="CX736" s="212">
        <v>1</v>
      </c>
    </row>
    <row r="737" spans="91:102" ht="21" customHeight="1">
      <c r="CM737" s="210"/>
      <c r="CN737" s="213" t="s">
        <v>2811</v>
      </c>
      <c r="CO737" s="213" t="s">
        <v>896</v>
      </c>
      <c r="CP737" s="213" t="s">
        <v>879</v>
      </c>
      <c r="CQ737" s="213" t="s">
        <v>2812</v>
      </c>
      <c r="CR737" s="213" t="s">
        <v>2812</v>
      </c>
      <c r="CS737" s="213" t="s">
        <v>881</v>
      </c>
      <c r="CT737" s="213" t="s">
        <v>2289</v>
      </c>
      <c r="CU737" s="213" t="s">
        <v>883</v>
      </c>
      <c r="CV737" s="214" t="s">
        <v>884</v>
      </c>
      <c r="CX737" s="212">
        <v>1</v>
      </c>
    </row>
    <row r="738" spans="91:102" ht="21" customHeight="1">
      <c r="CM738" s="210"/>
      <c r="CN738" s="213" t="s">
        <v>2813</v>
      </c>
      <c r="CO738" s="213" t="s">
        <v>896</v>
      </c>
      <c r="CP738" s="213" t="s">
        <v>879</v>
      </c>
      <c r="CQ738" s="213" t="s">
        <v>2814</v>
      </c>
      <c r="CR738" s="213" t="s">
        <v>2814</v>
      </c>
      <c r="CS738" s="213" t="s">
        <v>1620</v>
      </c>
      <c r="CT738" s="213" t="s">
        <v>1621</v>
      </c>
      <c r="CU738" s="213" t="s">
        <v>2206</v>
      </c>
      <c r="CV738" s="214" t="s">
        <v>2207</v>
      </c>
      <c r="CX738" s="212">
        <v>1</v>
      </c>
    </row>
    <row r="739" spans="91:102" ht="21" customHeight="1">
      <c r="CM739" s="210"/>
      <c r="CN739" s="213" t="s">
        <v>2815</v>
      </c>
      <c r="CO739" s="213" t="s">
        <v>896</v>
      </c>
      <c r="CP739" s="213" t="s">
        <v>879</v>
      </c>
      <c r="CQ739" s="213" t="s">
        <v>2816</v>
      </c>
      <c r="CR739" s="213" t="s">
        <v>2816</v>
      </c>
      <c r="CS739" s="213" t="s">
        <v>1620</v>
      </c>
      <c r="CT739" s="213" t="s">
        <v>1621</v>
      </c>
      <c r="CU739" s="213" t="s">
        <v>2206</v>
      </c>
      <c r="CV739" s="214" t="s">
        <v>2207</v>
      </c>
      <c r="CX739" s="212">
        <v>1</v>
      </c>
    </row>
    <row r="740" spans="91:102" ht="21" customHeight="1">
      <c r="CM740" s="210"/>
      <c r="CN740" s="213" t="s">
        <v>2817</v>
      </c>
      <c r="CO740" s="213" t="s">
        <v>896</v>
      </c>
      <c r="CP740" s="213" t="s">
        <v>879</v>
      </c>
      <c r="CQ740" s="213" t="s">
        <v>2818</v>
      </c>
      <c r="CR740" s="213" t="s">
        <v>2818</v>
      </c>
      <c r="CS740" s="213" t="s">
        <v>1620</v>
      </c>
      <c r="CT740" s="213" t="s">
        <v>1621</v>
      </c>
      <c r="CU740" s="213" t="s">
        <v>2206</v>
      </c>
      <c r="CV740" s="214" t="s">
        <v>2207</v>
      </c>
      <c r="CX740" s="212">
        <v>1</v>
      </c>
    </row>
    <row r="741" spans="91:102" ht="21" customHeight="1">
      <c r="CM741" s="210"/>
      <c r="CN741" s="213" t="s">
        <v>2819</v>
      </c>
      <c r="CO741" s="213" t="s">
        <v>896</v>
      </c>
      <c r="CP741" s="213" t="s">
        <v>879</v>
      </c>
      <c r="CQ741" s="213" t="s">
        <v>2820</v>
      </c>
      <c r="CR741" s="213" t="s">
        <v>2820</v>
      </c>
      <c r="CS741" s="213" t="s">
        <v>1620</v>
      </c>
      <c r="CT741" s="213" t="s">
        <v>1621</v>
      </c>
      <c r="CU741" s="213" t="s">
        <v>2206</v>
      </c>
      <c r="CV741" s="214" t="s">
        <v>2207</v>
      </c>
      <c r="CX741" s="212">
        <v>1</v>
      </c>
    </row>
    <row r="742" spans="91:102" ht="21" customHeight="1">
      <c r="CM742" s="210"/>
      <c r="CN742" s="213" t="s">
        <v>2821</v>
      </c>
      <c r="CO742" s="213" t="s">
        <v>896</v>
      </c>
      <c r="CP742" s="213" t="s">
        <v>879</v>
      </c>
      <c r="CQ742" s="213" t="s">
        <v>2822</v>
      </c>
      <c r="CR742" s="213" t="s">
        <v>2822</v>
      </c>
      <c r="CS742" s="213" t="s">
        <v>1620</v>
      </c>
      <c r="CT742" s="213" t="s">
        <v>1621</v>
      </c>
      <c r="CU742" s="213" t="s">
        <v>2206</v>
      </c>
      <c r="CV742" s="214" t="s">
        <v>2207</v>
      </c>
      <c r="CX742" s="212">
        <v>1</v>
      </c>
    </row>
    <row r="743" spans="91:102" ht="21" customHeight="1">
      <c r="CM743" s="210"/>
      <c r="CN743" s="213" t="s">
        <v>2823</v>
      </c>
      <c r="CO743" s="213" t="s">
        <v>896</v>
      </c>
      <c r="CP743" s="213" t="s">
        <v>879</v>
      </c>
      <c r="CQ743" s="213" t="s">
        <v>2824</v>
      </c>
      <c r="CR743" s="213" t="s">
        <v>2824</v>
      </c>
      <c r="CS743" s="213" t="s">
        <v>1620</v>
      </c>
      <c r="CT743" s="213" t="s">
        <v>1621</v>
      </c>
      <c r="CU743" s="213" t="s">
        <v>2206</v>
      </c>
      <c r="CV743" s="214" t="s">
        <v>2207</v>
      </c>
      <c r="CX743" s="212">
        <v>1</v>
      </c>
    </row>
    <row r="744" spans="91:102" ht="21" customHeight="1">
      <c r="CM744" s="210"/>
      <c r="CN744" s="213" t="s">
        <v>2825</v>
      </c>
      <c r="CO744" s="213" t="s">
        <v>896</v>
      </c>
      <c r="CP744" s="213" t="s">
        <v>879</v>
      </c>
      <c r="CQ744" s="213" t="s">
        <v>2826</v>
      </c>
      <c r="CR744" s="213" t="s">
        <v>2826</v>
      </c>
      <c r="CS744" s="213" t="s">
        <v>1620</v>
      </c>
      <c r="CT744" s="213" t="s">
        <v>1621</v>
      </c>
      <c r="CU744" s="213" t="s">
        <v>2206</v>
      </c>
      <c r="CV744" s="214" t="s">
        <v>2207</v>
      </c>
      <c r="CX744" s="212">
        <v>1</v>
      </c>
    </row>
    <row r="745" spans="91:102" ht="21" customHeight="1">
      <c r="CM745" s="210"/>
      <c r="CN745" s="213" t="s">
        <v>2827</v>
      </c>
      <c r="CO745" s="213" t="s">
        <v>896</v>
      </c>
      <c r="CP745" s="213" t="s">
        <v>879</v>
      </c>
      <c r="CQ745" s="213" t="s">
        <v>2828</v>
      </c>
      <c r="CR745" s="213" t="s">
        <v>2828</v>
      </c>
      <c r="CS745" s="213" t="s">
        <v>881</v>
      </c>
      <c r="CT745" s="213" t="s">
        <v>2289</v>
      </c>
      <c r="CU745" s="213" t="s">
        <v>883</v>
      </c>
      <c r="CV745" s="214" t="s">
        <v>884</v>
      </c>
      <c r="CX745" s="212">
        <v>1</v>
      </c>
    </row>
    <row r="746" spans="91:102" ht="21" customHeight="1">
      <c r="CM746" s="210"/>
      <c r="CN746" s="213" t="s">
        <v>2829</v>
      </c>
      <c r="CO746" s="213" t="s">
        <v>896</v>
      </c>
      <c r="CP746" s="213" t="s">
        <v>879</v>
      </c>
      <c r="CQ746" s="213" t="s">
        <v>2830</v>
      </c>
      <c r="CR746" s="213" t="s">
        <v>2830</v>
      </c>
      <c r="CS746" s="213" t="s">
        <v>1620</v>
      </c>
      <c r="CT746" s="213" t="s">
        <v>1621</v>
      </c>
      <c r="CU746" s="213" t="s">
        <v>2206</v>
      </c>
      <c r="CV746" s="214" t="s">
        <v>2207</v>
      </c>
      <c r="CX746" s="212">
        <v>1</v>
      </c>
    </row>
    <row r="747" spans="91:102" ht="21" customHeight="1">
      <c r="CM747" s="210"/>
      <c r="CN747" s="213" t="s">
        <v>2831</v>
      </c>
      <c r="CO747" s="213" t="s">
        <v>896</v>
      </c>
      <c r="CP747" s="213" t="s">
        <v>879</v>
      </c>
      <c r="CQ747" s="213" t="s">
        <v>2832</v>
      </c>
      <c r="CR747" s="213" t="s">
        <v>2832</v>
      </c>
      <c r="CS747" s="213" t="s">
        <v>1620</v>
      </c>
      <c r="CT747" s="213" t="s">
        <v>1621</v>
      </c>
      <c r="CU747" s="213" t="s">
        <v>2206</v>
      </c>
      <c r="CV747" s="214" t="s">
        <v>2207</v>
      </c>
      <c r="CX747" s="212">
        <v>1</v>
      </c>
    </row>
    <row r="748" spans="91:102" ht="21" customHeight="1">
      <c r="CM748" s="210"/>
      <c r="CN748" s="213" t="s">
        <v>2833</v>
      </c>
      <c r="CO748" s="213" t="s">
        <v>896</v>
      </c>
      <c r="CP748" s="213" t="s">
        <v>879</v>
      </c>
      <c r="CQ748" s="213" t="s">
        <v>2834</v>
      </c>
      <c r="CR748" s="213" t="s">
        <v>2834</v>
      </c>
      <c r="CS748" s="213" t="s">
        <v>1620</v>
      </c>
      <c r="CT748" s="213" t="s">
        <v>1621</v>
      </c>
      <c r="CU748" s="213" t="s">
        <v>2206</v>
      </c>
      <c r="CV748" s="214" t="s">
        <v>2207</v>
      </c>
      <c r="CX748" s="212">
        <v>1</v>
      </c>
    </row>
    <row r="749" spans="91:102" ht="21" customHeight="1">
      <c r="CM749" s="210"/>
      <c r="CN749" s="213" t="s">
        <v>2835</v>
      </c>
      <c r="CO749" s="213" t="s">
        <v>896</v>
      </c>
      <c r="CP749" s="213" t="s">
        <v>879</v>
      </c>
      <c r="CQ749" s="213" t="s">
        <v>2836</v>
      </c>
      <c r="CR749" s="213" t="s">
        <v>2836</v>
      </c>
      <c r="CS749" s="213" t="s">
        <v>881</v>
      </c>
      <c r="CT749" s="213" t="s">
        <v>2289</v>
      </c>
      <c r="CU749" s="213" t="s">
        <v>883</v>
      </c>
      <c r="CV749" s="214" t="s">
        <v>884</v>
      </c>
      <c r="CX749" s="212">
        <v>1</v>
      </c>
    </row>
    <row r="750" spans="91:102" ht="21" customHeight="1">
      <c r="CM750" s="210"/>
      <c r="CN750" s="213" t="s">
        <v>2837</v>
      </c>
      <c r="CO750" s="213" t="s">
        <v>896</v>
      </c>
      <c r="CP750" s="213" t="s">
        <v>879</v>
      </c>
      <c r="CQ750" s="213" t="s">
        <v>2838</v>
      </c>
      <c r="CR750" s="213" t="s">
        <v>2838</v>
      </c>
      <c r="CS750" s="213" t="s">
        <v>1620</v>
      </c>
      <c r="CT750" s="213" t="s">
        <v>1621</v>
      </c>
      <c r="CU750" s="213" t="s">
        <v>2206</v>
      </c>
      <c r="CV750" s="214" t="s">
        <v>2207</v>
      </c>
      <c r="CX750" s="212">
        <v>1</v>
      </c>
    </row>
    <row r="751" spans="91:102" ht="21" customHeight="1">
      <c r="CM751" s="210"/>
      <c r="CN751" s="213" t="s">
        <v>2839</v>
      </c>
      <c r="CO751" s="213" t="s">
        <v>896</v>
      </c>
      <c r="CP751" s="213" t="s">
        <v>879</v>
      </c>
      <c r="CQ751" s="213" t="s">
        <v>2840</v>
      </c>
      <c r="CR751" s="213" t="s">
        <v>2840</v>
      </c>
      <c r="CS751" s="213" t="s">
        <v>1620</v>
      </c>
      <c r="CT751" s="213" t="s">
        <v>1621</v>
      </c>
      <c r="CU751" s="213" t="s">
        <v>2206</v>
      </c>
      <c r="CV751" s="214" t="s">
        <v>2207</v>
      </c>
      <c r="CX751" s="212">
        <v>1</v>
      </c>
    </row>
    <row r="752" spans="91:102" ht="21" customHeight="1">
      <c r="CM752" s="210"/>
      <c r="CN752" s="213" t="s">
        <v>2841</v>
      </c>
      <c r="CO752" s="213" t="s">
        <v>896</v>
      </c>
      <c r="CP752" s="213" t="s">
        <v>879</v>
      </c>
      <c r="CQ752" s="213" t="s">
        <v>2842</v>
      </c>
      <c r="CR752" s="213" t="s">
        <v>2842</v>
      </c>
      <c r="CS752" s="213" t="s">
        <v>1620</v>
      </c>
      <c r="CT752" s="213" t="s">
        <v>1621</v>
      </c>
      <c r="CU752" s="213" t="s">
        <v>2206</v>
      </c>
      <c r="CV752" s="214" t="s">
        <v>2207</v>
      </c>
      <c r="CX752" s="212">
        <v>1</v>
      </c>
    </row>
    <row r="753" spans="91:102" ht="21" customHeight="1">
      <c r="CM753" s="210"/>
      <c r="CN753" s="213" t="s">
        <v>2843</v>
      </c>
      <c r="CO753" s="213" t="s">
        <v>896</v>
      </c>
      <c r="CP753" s="213" t="s">
        <v>879</v>
      </c>
      <c r="CQ753" s="213" t="s">
        <v>2844</v>
      </c>
      <c r="CR753" s="213" t="s">
        <v>2844</v>
      </c>
      <c r="CS753" s="213" t="s">
        <v>1620</v>
      </c>
      <c r="CT753" s="213" t="s">
        <v>1621</v>
      </c>
      <c r="CU753" s="213" t="s">
        <v>2206</v>
      </c>
      <c r="CV753" s="214" t="s">
        <v>2207</v>
      </c>
      <c r="CX753" s="212">
        <v>1</v>
      </c>
    </row>
    <row r="754" spans="91:102" ht="21" customHeight="1">
      <c r="CM754" s="210"/>
      <c r="CN754" s="213" t="s">
        <v>2845</v>
      </c>
      <c r="CO754" s="213" t="s">
        <v>896</v>
      </c>
      <c r="CP754" s="213" t="s">
        <v>879</v>
      </c>
      <c r="CQ754" s="213" t="s">
        <v>2846</v>
      </c>
      <c r="CR754" s="213" t="s">
        <v>2846</v>
      </c>
      <c r="CS754" s="213" t="s">
        <v>1620</v>
      </c>
      <c r="CT754" s="213" t="s">
        <v>1621</v>
      </c>
      <c r="CU754" s="213" t="s">
        <v>2206</v>
      </c>
      <c r="CV754" s="214" t="s">
        <v>2207</v>
      </c>
      <c r="CX754" s="212">
        <v>1</v>
      </c>
    </row>
    <row r="755" spans="91:102" ht="21" customHeight="1">
      <c r="CM755" s="210"/>
      <c r="CN755" s="213" t="s">
        <v>2847</v>
      </c>
      <c r="CO755" s="213" t="s">
        <v>896</v>
      </c>
      <c r="CP755" s="213" t="s">
        <v>879</v>
      </c>
      <c r="CQ755" s="213" t="s">
        <v>2848</v>
      </c>
      <c r="CR755" s="213" t="s">
        <v>2848</v>
      </c>
      <c r="CS755" s="213" t="s">
        <v>1620</v>
      </c>
      <c r="CT755" s="213" t="s">
        <v>1621</v>
      </c>
      <c r="CU755" s="213" t="s">
        <v>2206</v>
      </c>
      <c r="CV755" s="214" t="s">
        <v>2207</v>
      </c>
      <c r="CX755" s="212">
        <v>1</v>
      </c>
    </row>
    <row r="756" spans="91:102" ht="21" customHeight="1">
      <c r="CM756" s="210"/>
      <c r="CN756" s="213" t="s">
        <v>2849</v>
      </c>
      <c r="CO756" s="213" t="s">
        <v>896</v>
      </c>
      <c r="CP756" s="213" t="s">
        <v>879</v>
      </c>
      <c r="CQ756" s="213" t="s">
        <v>2850</v>
      </c>
      <c r="CR756" s="213" t="s">
        <v>2850</v>
      </c>
      <c r="CS756" s="213" t="s">
        <v>1620</v>
      </c>
      <c r="CT756" s="213" t="s">
        <v>1621</v>
      </c>
      <c r="CU756" s="213" t="s">
        <v>2206</v>
      </c>
      <c r="CV756" s="214" t="s">
        <v>2207</v>
      </c>
      <c r="CX756" s="212">
        <v>1</v>
      </c>
    </row>
    <row r="757" spans="91:102" ht="21" customHeight="1">
      <c r="CM757" s="210"/>
      <c r="CN757" s="213" t="s">
        <v>2851</v>
      </c>
      <c r="CO757" s="213" t="s">
        <v>896</v>
      </c>
      <c r="CP757" s="213" t="s">
        <v>879</v>
      </c>
      <c r="CQ757" s="213" t="s">
        <v>2852</v>
      </c>
      <c r="CR757" s="213" t="s">
        <v>2852</v>
      </c>
      <c r="CS757" s="213" t="s">
        <v>1620</v>
      </c>
      <c r="CT757" s="213" t="s">
        <v>1621</v>
      </c>
      <c r="CU757" s="213" t="s">
        <v>2206</v>
      </c>
      <c r="CV757" s="214" t="s">
        <v>2207</v>
      </c>
      <c r="CX757" s="212">
        <v>1</v>
      </c>
    </row>
    <row r="758" spans="91:102" ht="21" customHeight="1">
      <c r="CM758" s="210"/>
      <c r="CN758" s="213" t="s">
        <v>2853</v>
      </c>
      <c r="CO758" s="213" t="s">
        <v>896</v>
      </c>
      <c r="CP758" s="213" t="s">
        <v>879</v>
      </c>
      <c r="CQ758" s="213" t="s">
        <v>2854</v>
      </c>
      <c r="CR758" s="213" t="s">
        <v>2854</v>
      </c>
      <c r="CS758" s="213" t="s">
        <v>1620</v>
      </c>
      <c r="CT758" s="213" t="s">
        <v>1621</v>
      </c>
      <c r="CU758" s="213" t="s">
        <v>2206</v>
      </c>
      <c r="CV758" s="214" t="s">
        <v>2207</v>
      </c>
      <c r="CX758" s="212">
        <v>1</v>
      </c>
    </row>
    <row r="759" spans="91:102" ht="21" customHeight="1">
      <c r="CM759" s="210"/>
      <c r="CN759" s="213" t="s">
        <v>2855</v>
      </c>
      <c r="CO759" s="213" t="s">
        <v>896</v>
      </c>
      <c r="CP759" s="213" t="s">
        <v>879</v>
      </c>
      <c r="CQ759" s="213" t="s">
        <v>2856</v>
      </c>
      <c r="CR759" s="213" t="s">
        <v>2856</v>
      </c>
      <c r="CS759" s="213" t="s">
        <v>1620</v>
      </c>
      <c r="CT759" s="213" t="s">
        <v>1621</v>
      </c>
      <c r="CU759" s="213" t="s">
        <v>2206</v>
      </c>
      <c r="CV759" s="214" t="s">
        <v>2207</v>
      </c>
      <c r="CX759" s="212">
        <v>1</v>
      </c>
    </row>
    <row r="760" spans="91:102" ht="21" customHeight="1">
      <c r="CM760" s="210"/>
      <c r="CN760" s="213" t="s">
        <v>2857</v>
      </c>
      <c r="CO760" s="213" t="s">
        <v>896</v>
      </c>
      <c r="CP760" s="213" t="s">
        <v>879</v>
      </c>
      <c r="CQ760" s="213" t="s">
        <v>2858</v>
      </c>
      <c r="CR760" s="213" t="s">
        <v>2858</v>
      </c>
      <c r="CS760" s="213" t="s">
        <v>1620</v>
      </c>
      <c r="CT760" s="213" t="s">
        <v>1621</v>
      </c>
      <c r="CU760" s="213" t="s">
        <v>2206</v>
      </c>
      <c r="CV760" s="214" t="s">
        <v>2207</v>
      </c>
      <c r="CX760" s="212">
        <v>1</v>
      </c>
    </row>
    <row r="761" spans="91:102" ht="21" customHeight="1">
      <c r="CM761" s="210"/>
      <c r="CN761" s="213" t="s">
        <v>2859</v>
      </c>
      <c r="CO761" s="213" t="s">
        <v>896</v>
      </c>
      <c r="CP761" s="213" t="s">
        <v>879</v>
      </c>
      <c r="CQ761" s="213" t="s">
        <v>2860</v>
      </c>
      <c r="CR761" s="213" t="s">
        <v>2860</v>
      </c>
      <c r="CS761" s="213" t="s">
        <v>1620</v>
      </c>
      <c r="CT761" s="213" t="s">
        <v>1621</v>
      </c>
      <c r="CU761" s="213" t="s">
        <v>2206</v>
      </c>
      <c r="CV761" s="214" t="s">
        <v>2207</v>
      </c>
      <c r="CX761" s="212">
        <v>1</v>
      </c>
    </row>
    <row r="762" spans="91:102" ht="21" customHeight="1">
      <c r="CM762" s="210"/>
      <c r="CN762" s="213" t="s">
        <v>2861</v>
      </c>
      <c r="CO762" s="213" t="s">
        <v>896</v>
      </c>
      <c r="CP762" s="213" t="s">
        <v>879</v>
      </c>
      <c r="CQ762" s="213" t="s">
        <v>2862</v>
      </c>
      <c r="CR762" s="213" t="s">
        <v>2862</v>
      </c>
      <c r="CS762" s="213" t="s">
        <v>1620</v>
      </c>
      <c r="CT762" s="213" t="s">
        <v>1621</v>
      </c>
      <c r="CU762" s="213" t="s">
        <v>2206</v>
      </c>
      <c r="CV762" s="214" t="s">
        <v>2207</v>
      </c>
      <c r="CX762" s="212">
        <v>1</v>
      </c>
    </row>
    <row r="763" spans="91:102" ht="21" customHeight="1">
      <c r="CM763" s="210"/>
      <c r="CN763" s="213" t="s">
        <v>2863</v>
      </c>
      <c r="CO763" s="213" t="s">
        <v>896</v>
      </c>
      <c r="CP763" s="213" t="s">
        <v>879</v>
      </c>
      <c r="CQ763" s="213" t="s">
        <v>2864</v>
      </c>
      <c r="CR763" s="213" t="s">
        <v>2864</v>
      </c>
      <c r="CS763" s="213" t="s">
        <v>881</v>
      </c>
      <c r="CT763" s="213" t="s">
        <v>2289</v>
      </c>
      <c r="CU763" s="213" t="s">
        <v>883</v>
      </c>
      <c r="CV763" s="214" t="s">
        <v>884</v>
      </c>
      <c r="CX763" s="212">
        <v>1</v>
      </c>
    </row>
    <row r="764" spans="91:102" ht="21" customHeight="1">
      <c r="CM764" s="210"/>
      <c r="CN764" s="213" t="s">
        <v>2865</v>
      </c>
      <c r="CO764" s="213" t="s">
        <v>896</v>
      </c>
      <c r="CP764" s="213" t="s">
        <v>879</v>
      </c>
      <c r="CQ764" s="213" t="s">
        <v>2866</v>
      </c>
      <c r="CR764" s="213" t="s">
        <v>2867</v>
      </c>
      <c r="CS764" s="213" t="s">
        <v>881</v>
      </c>
      <c r="CT764" s="213" t="s">
        <v>2289</v>
      </c>
      <c r="CU764" s="213" t="s">
        <v>883</v>
      </c>
      <c r="CV764" s="214" t="s">
        <v>884</v>
      </c>
      <c r="CX764" s="212">
        <v>1</v>
      </c>
    </row>
    <row r="765" spans="91:102" ht="21" customHeight="1">
      <c r="CM765" s="210"/>
      <c r="CN765" s="213" t="s">
        <v>2868</v>
      </c>
      <c r="CO765" s="213" t="s">
        <v>896</v>
      </c>
      <c r="CP765" s="213" t="s">
        <v>879</v>
      </c>
      <c r="CQ765" s="213" t="s">
        <v>2869</v>
      </c>
      <c r="CR765" s="213" t="s">
        <v>2870</v>
      </c>
      <c r="CS765" s="213" t="s">
        <v>881</v>
      </c>
      <c r="CT765" s="213" t="s">
        <v>2289</v>
      </c>
      <c r="CU765" s="213" t="s">
        <v>883</v>
      </c>
      <c r="CV765" s="214" t="s">
        <v>884</v>
      </c>
      <c r="CX765" s="212">
        <v>1</v>
      </c>
    </row>
    <row r="766" spans="91:102" ht="21" customHeight="1">
      <c r="CM766" s="210"/>
      <c r="CN766" s="213" t="s">
        <v>2871</v>
      </c>
      <c r="CO766" s="213" t="s">
        <v>896</v>
      </c>
      <c r="CP766" s="213" t="s">
        <v>879</v>
      </c>
      <c r="CQ766" s="213" t="s">
        <v>2872</v>
      </c>
      <c r="CR766" s="213" t="s">
        <v>2872</v>
      </c>
      <c r="CS766" s="213" t="s">
        <v>1620</v>
      </c>
      <c r="CT766" s="213" t="s">
        <v>1621</v>
      </c>
      <c r="CU766" s="213" t="s">
        <v>2206</v>
      </c>
      <c r="CV766" s="214" t="s">
        <v>2207</v>
      </c>
      <c r="CX766" s="212">
        <v>1</v>
      </c>
    </row>
    <row r="767" spans="91:102" ht="21" customHeight="1">
      <c r="CM767" s="210"/>
      <c r="CN767" s="213" t="s">
        <v>2873</v>
      </c>
      <c r="CO767" s="213" t="s">
        <v>896</v>
      </c>
      <c r="CP767" s="213" t="s">
        <v>879</v>
      </c>
      <c r="CQ767" s="213" t="s">
        <v>2874</v>
      </c>
      <c r="CR767" s="213" t="s">
        <v>2874</v>
      </c>
      <c r="CS767" s="213" t="s">
        <v>1620</v>
      </c>
      <c r="CT767" s="213" t="s">
        <v>1621</v>
      </c>
      <c r="CU767" s="213" t="s">
        <v>2206</v>
      </c>
      <c r="CV767" s="214" t="s">
        <v>2207</v>
      </c>
      <c r="CX767" s="212">
        <v>1</v>
      </c>
    </row>
    <row r="768" spans="91:102" ht="21" customHeight="1">
      <c r="CM768" s="210"/>
      <c r="CN768" s="213" t="s">
        <v>2875</v>
      </c>
      <c r="CO768" s="213" t="s">
        <v>896</v>
      </c>
      <c r="CP768" s="213" t="s">
        <v>879</v>
      </c>
      <c r="CQ768" s="213" t="s">
        <v>2876</v>
      </c>
      <c r="CR768" s="213" t="s">
        <v>2876</v>
      </c>
      <c r="CS768" s="213" t="s">
        <v>1620</v>
      </c>
      <c r="CT768" s="213" t="s">
        <v>1621</v>
      </c>
      <c r="CU768" s="213" t="s">
        <v>2206</v>
      </c>
      <c r="CV768" s="214" t="s">
        <v>2207</v>
      </c>
      <c r="CX768" s="212">
        <v>1</v>
      </c>
    </row>
    <row r="769" spans="91:102" ht="21" customHeight="1">
      <c r="CM769" s="210"/>
      <c r="CN769" s="213" t="s">
        <v>2877</v>
      </c>
      <c r="CO769" s="213" t="s">
        <v>896</v>
      </c>
      <c r="CP769" s="213" t="s">
        <v>879</v>
      </c>
      <c r="CQ769" s="213" t="s">
        <v>2878</v>
      </c>
      <c r="CR769" s="213" t="s">
        <v>2878</v>
      </c>
      <c r="CS769" s="213" t="s">
        <v>1620</v>
      </c>
      <c r="CT769" s="213" t="s">
        <v>1621</v>
      </c>
      <c r="CU769" s="213" t="s">
        <v>2206</v>
      </c>
      <c r="CV769" s="214" t="s">
        <v>2207</v>
      </c>
      <c r="CX769" s="212">
        <v>1</v>
      </c>
    </row>
    <row r="770" spans="91:102" ht="21" customHeight="1">
      <c r="CM770" s="210"/>
      <c r="CN770" s="213" t="s">
        <v>2879</v>
      </c>
      <c r="CO770" s="213" t="s">
        <v>896</v>
      </c>
      <c r="CP770" s="213" t="s">
        <v>879</v>
      </c>
      <c r="CQ770" s="213" t="s">
        <v>2880</v>
      </c>
      <c r="CR770" s="213" t="s">
        <v>2880</v>
      </c>
      <c r="CS770" s="213" t="s">
        <v>1620</v>
      </c>
      <c r="CT770" s="213" t="s">
        <v>1621</v>
      </c>
      <c r="CU770" s="213" t="s">
        <v>2206</v>
      </c>
      <c r="CV770" s="214" t="s">
        <v>2207</v>
      </c>
      <c r="CX770" s="212">
        <v>1</v>
      </c>
    </row>
    <row r="771" spans="91:102" ht="21" customHeight="1">
      <c r="CM771" s="210"/>
      <c r="CN771" s="213" t="s">
        <v>2881</v>
      </c>
      <c r="CO771" s="213" t="s">
        <v>896</v>
      </c>
      <c r="CP771" s="213" t="s">
        <v>879</v>
      </c>
      <c r="CQ771" s="213" t="s">
        <v>2882</v>
      </c>
      <c r="CR771" s="213" t="s">
        <v>2882</v>
      </c>
      <c r="CS771" s="213" t="s">
        <v>1620</v>
      </c>
      <c r="CT771" s="213" t="s">
        <v>1621</v>
      </c>
      <c r="CU771" s="213" t="s">
        <v>2206</v>
      </c>
      <c r="CV771" s="214" t="s">
        <v>2207</v>
      </c>
      <c r="CX771" s="212">
        <v>1</v>
      </c>
    </row>
    <row r="772" spans="91:102" ht="21" customHeight="1">
      <c r="CM772" s="210"/>
      <c r="CN772" s="213" t="s">
        <v>2883</v>
      </c>
      <c r="CO772" s="213" t="s">
        <v>896</v>
      </c>
      <c r="CP772" s="213" t="s">
        <v>879</v>
      </c>
      <c r="CQ772" s="213" t="s">
        <v>2884</v>
      </c>
      <c r="CR772" s="213" t="s">
        <v>2884</v>
      </c>
      <c r="CS772" s="213" t="s">
        <v>1620</v>
      </c>
      <c r="CT772" s="213" t="s">
        <v>1621</v>
      </c>
      <c r="CU772" s="213" t="s">
        <v>2206</v>
      </c>
      <c r="CV772" s="214" t="s">
        <v>2207</v>
      </c>
      <c r="CX772" s="212">
        <v>1</v>
      </c>
    </row>
    <row r="773" spans="91:102" ht="21" customHeight="1">
      <c r="CM773" s="210"/>
      <c r="CN773" s="213" t="s">
        <v>2885</v>
      </c>
      <c r="CO773" s="213" t="s">
        <v>896</v>
      </c>
      <c r="CP773" s="213" t="s">
        <v>879</v>
      </c>
      <c r="CQ773" s="213" t="s">
        <v>2886</v>
      </c>
      <c r="CR773" s="213" t="s">
        <v>2886</v>
      </c>
      <c r="CS773" s="213" t="s">
        <v>1620</v>
      </c>
      <c r="CT773" s="213" t="s">
        <v>1621</v>
      </c>
      <c r="CU773" s="213" t="s">
        <v>2206</v>
      </c>
      <c r="CV773" s="214" t="s">
        <v>2207</v>
      </c>
      <c r="CX773" s="212">
        <v>1</v>
      </c>
    </row>
    <row r="774" spans="91:102" ht="21" customHeight="1">
      <c r="CM774" s="210"/>
      <c r="CN774" s="213" t="s">
        <v>2887</v>
      </c>
      <c r="CO774" s="213" t="s">
        <v>896</v>
      </c>
      <c r="CP774" s="213" t="s">
        <v>879</v>
      </c>
      <c r="CQ774" s="213" t="s">
        <v>2888</v>
      </c>
      <c r="CR774" s="213" t="s">
        <v>2888</v>
      </c>
      <c r="CS774" s="213" t="s">
        <v>1620</v>
      </c>
      <c r="CT774" s="213" t="s">
        <v>1621</v>
      </c>
      <c r="CU774" s="213" t="s">
        <v>2206</v>
      </c>
      <c r="CV774" s="214" t="s">
        <v>2207</v>
      </c>
      <c r="CX774" s="212">
        <v>1</v>
      </c>
    </row>
    <row r="775" spans="91:102" ht="21" customHeight="1">
      <c r="CM775" s="210"/>
      <c r="CN775" s="213" t="s">
        <v>2889</v>
      </c>
      <c r="CO775" s="213" t="s">
        <v>896</v>
      </c>
      <c r="CP775" s="213" t="s">
        <v>879</v>
      </c>
      <c r="CQ775" s="213" t="s">
        <v>2890</v>
      </c>
      <c r="CR775" s="213" t="s">
        <v>2890</v>
      </c>
      <c r="CS775" s="213" t="s">
        <v>1620</v>
      </c>
      <c r="CT775" s="213" t="s">
        <v>1621</v>
      </c>
      <c r="CU775" s="213" t="s">
        <v>2206</v>
      </c>
      <c r="CV775" s="214" t="s">
        <v>2207</v>
      </c>
      <c r="CX775" s="212">
        <v>1</v>
      </c>
    </row>
    <row r="776" spans="91:102" ht="21" customHeight="1">
      <c r="CM776" s="210"/>
      <c r="CN776" s="213" t="s">
        <v>2891</v>
      </c>
      <c r="CO776" s="213" t="s">
        <v>896</v>
      </c>
      <c r="CP776" s="213" t="s">
        <v>879</v>
      </c>
      <c r="CQ776" s="213" t="s">
        <v>2892</v>
      </c>
      <c r="CR776" s="213" t="s">
        <v>2892</v>
      </c>
      <c r="CS776" s="213" t="s">
        <v>1620</v>
      </c>
      <c r="CT776" s="213" t="s">
        <v>1621</v>
      </c>
      <c r="CU776" s="213" t="s">
        <v>2206</v>
      </c>
      <c r="CV776" s="214" t="s">
        <v>2207</v>
      </c>
      <c r="CX776" s="212">
        <v>1</v>
      </c>
    </row>
    <row r="777" spans="91:102" ht="21" customHeight="1">
      <c r="CM777" s="210"/>
      <c r="CN777" s="213" t="s">
        <v>2893</v>
      </c>
      <c r="CO777" s="213" t="s">
        <v>896</v>
      </c>
      <c r="CP777" s="213" t="s">
        <v>879</v>
      </c>
      <c r="CQ777" s="213" t="s">
        <v>2894</v>
      </c>
      <c r="CR777" s="213" t="s">
        <v>2894</v>
      </c>
      <c r="CS777" s="213" t="s">
        <v>1620</v>
      </c>
      <c r="CT777" s="213" t="s">
        <v>1621</v>
      </c>
      <c r="CU777" s="213" t="s">
        <v>2206</v>
      </c>
      <c r="CV777" s="214" t="s">
        <v>2207</v>
      </c>
      <c r="CX777" s="212">
        <v>1</v>
      </c>
    </row>
    <row r="778" spans="91:102" ht="21" customHeight="1">
      <c r="CM778" s="210"/>
      <c r="CN778" s="213" t="s">
        <v>2895</v>
      </c>
      <c r="CO778" s="213" t="s">
        <v>896</v>
      </c>
      <c r="CP778" s="213" t="s">
        <v>879</v>
      </c>
      <c r="CQ778" s="213" t="s">
        <v>2896</v>
      </c>
      <c r="CR778" s="213" t="s">
        <v>2896</v>
      </c>
      <c r="CS778" s="213" t="s">
        <v>1620</v>
      </c>
      <c r="CT778" s="213" t="s">
        <v>1621</v>
      </c>
      <c r="CU778" s="213" t="s">
        <v>2206</v>
      </c>
      <c r="CV778" s="214" t="s">
        <v>2207</v>
      </c>
      <c r="CX778" s="212">
        <v>1</v>
      </c>
    </row>
    <row r="779" spans="91:102" ht="21" customHeight="1">
      <c r="CM779" s="210"/>
      <c r="CN779" s="213" t="s">
        <v>2897</v>
      </c>
      <c r="CO779" s="213" t="s">
        <v>896</v>
      </c>
      <c r="CP779" s="213" t="s">
        <v>879</v>
      </c>
      <c r="CQ779" s="213" t="s">
        <v>2898</v>
      </c>
      <c r="CR779" s="213" t="s">
        <v>2898</v>
      </c>
      <c r="CS779" s="213" t="s">
        <v>1620</v>
      </c>
      <c r="CT779" s="213" t="s">
        <v>1621</v>
      </c>
      <c r="CU779" s="213" t="s">
        <v>2206</v>
      </c>
      <c r="CV779" s="214" t="s">
        <v>2207</v>
      </c>
      <c r="CX779" s="212">
        <v>1</v>
      </c>
    </row>
    <row r="780" spans="91:102" ht="21" customHeight="1">
      <c r="CM780" s="210"/>
      <c r="CN780" s="213" t="s">
        <v>2899</v>
      </c>
      <c r="CO780" s="213" t="s">
        <v>896</v>
      </c>
      <c r="CP780" s="213" t="s">
        <v>879</v>
      </c>
      <c r="CQ780" s="213" t="s">
        <v>2900</v>
      </c>
      <c r="CR780" s="213" t="s">
        <v>2900</v>
      </c>
      <c r="CS780" s="213" t="s">
        <v>1620</v>
      </c>
      <c r="CT780" s="213" t="s">
        <v>1621</v>
      </c>
      <c r="CU780" s="213" t="s">
        <v>2206</v>
      </c>
      <c r="CV780" s="214" t="s">
        <v>2207</v>
      </c>
      <c r="CX780" s="212">
        <v>1</v>
      </c>
    </row>
    <row r="781" spans="91:102" ht="21" customHeight="1">
      <c r="CM781" s="210"/>
      <c r="CN781" s="213" t="s">
        <v>2901</v>
      </c>
      <c r="CO781" s="213" t="s">
        <v>896</v>
      </c>
      <c r="CP781" s="213" t="s">
        <v>879</v>
      </c>
      <c r="CQ781" s="213" t="s">
        <v>2902</v>
      </c>
      <c r="CR781" s="213" t="s">
        <v>2902</v>
      </c>
      <c r="CS781" s="213" t="s">
        <v>1620</v>
      </c>
      <c r="CT781" s="213" t="s">
        <v>1621</v>
      </c>
      <c r="CU781" s="213" t="s">
        <v>2206</v>
      </c>
      <c r="CV781" s="214" t="s">
        <v>2207</v>
      </c>
      <c r="CX781" s="212">
        <v>1</v>
      </c>
    </row>
    <row r="782" spans="91:102" ht="21" customHeight="1">
      <c r="CM782" s="210"/>
      <c r="CN782" s="213" t="s">
        <v>2903</v>
      </c>
      <c r="CO782" s="213" t="s">
        <v>896</v>
      </c>
      <c r="CP782" s="213" t="s">
        <v>879</v>
      </c>
      <c r="CQ782" s="213" t="s">
        <v>2904</v>
      </c>
      <c r="CR782" s="213" t="s">
        <v>2904</v>
      </c>
      <c r="CS782" s="213" t="s">
        <v>1620</v>
      </c>
      <c r="CT782" s="213" t="s">
        <v>1621</v>
      </c>
      <c r="CU782" s="213" t="s">
        <v>2206</v>
      </c>
      <c r="CV782" s="214" t="s">
        <v>2207</v>
      </c>
      <c r="CX782" s="212">
        <v>1</v>
      </c>
    </row>
    <row r="783" spans="91:102" ht="21" customHeight="1">
      <c r="CM783" s="210"/>
      <c r="CN783" s="213" t="s">
        <v>2905</v>
      </c>
      <c r="CO783" s="213" t="s">
        <v>896</v>
      </c>
      <c r="CP783" s="213" t="s">
        <v>879</v>
      </c>
      <c r="CQ783" s="213" t="s">
        <v>2906</v>
      </c>
      <c r="CR783" s="213" t="s">
        <v>2906</v>
      </c>
      <c r="CS783" s="213" t="s">
        <v>1620</v>
      </c>
      <c r="CT783" s="213" t="s">
        <v>1621</v>
      </c>
      <c r="CU783" s="213" t="s">
        <v>2206</v>
      </c>
      <c r="CV783" s="214" t="s">
        <v>2207</v>
      </c>
      <c r="CX783" s="212">
        <v>1</v>
      </c>
    </row>
    <row r="784" spans="91:102" ht="21" customHeight="1">
      <c r="CM784" s="210"/>
      <c r="CN784" s="213" t="s">
        <v>2907</v>
      </c>
      <c r="CO784" s="213" t="s">
        <v>896</v>
      </c>
      <c r="CP784" s="213" t="s">
        <v>879</v>
      </c>
      <c r="CQ784" s="213" t="s">
        <v>2908</v>
      </c>
      <c r="CR784" s="213" t="s">
        <v>2908</v>
      </c>
      <c r="CS784" s="213" t="s">
        <v>1620</v>
      </c>
      <c r="CT784" s="213" t="s">
        <v>1621</v>
      </c>
      <c r="CU784" s="213" t="s">
        <v>2206</v>
      </c>
      <c r="CV784" s="214" t="s">
        <v>2207</v>
      </c>
      <c r="CX784" s="212">
        <v>1</v>
      </c>
    </row>
    <row r="785" spans="91:102" ht="21" customHeight="1">
      <c r="CM785" s="210"/>
      <c r="CN785" s="213" t="s">
        <v>2909</v>
      </c>
      <c r="CO785" s="213" t="s">
        <v>896</v>
      </c>
      <c r="CP785" s="213" t="s">
        <v>879</v>
      </c>
      <c r="CQ785" s="213" t="s">
        <v>2910</v>
      </c>
      <c r="CR785" s="213" t="s">
        <v>2910</v>
      </c>
      <c r="CS785" s="213" t="s">
        <v>1620</v>
      </c>
      <c r="CT785" s="213" t="s">
        <v>1621</v>
      </c>
      <c r="CU785" s="213" t="s">
        <v>2206</v>
      </c>
      <c r="CV785" s="214" t="s">
        <v>2207</v>
      </c>
      <c r="CX785" s="212">
        <v>1</v>
      </c>
    </row>
    <row r="786" spans="91:102" ht="21" customHeight="1">
      <c r="CM786" s="210"/>
      <c r="CN786" s="213" t="s">
        <v>2911</v>
      </c>
      <c r="CO786" s="213" t="s">
        <v>896</v>
      </c>
      <c r="CP786" s="213" t="s">
        <v>879</v>
      </c>
      <c r="CQ786" s="213" t="s">
        <v>2912</v>
      </c>
      <c r="CR786" s="213" t="s">
        <v>2912</v>
      </c>
      <c r="CS786" s="213" t="s">
        <v>1620</v>
      </c>
      <c r="CT786" s="213" t="s">
        <v>1621</v>
      </c>
      <c r="CU786" s="213" t="s">
        <v>2206</v>
      </c>
      <c r="CV786" s="214" t="s">
        <v>2207</v>
      </c>
      <c r="CX786" s="212">
        <v>1</v>
      </c>
    </row>
    <row r="787" spans="91:102" ht="21" customHeight="1">
      <c r="CM787" s="210"/>
      <c r="CN787" s="213" t="s">
        <v>2913</v>
      </c>
      <c r="CO787" s="213" t="s">
        <v>896</v>
      </c>
      <c r="CP787" s="213" t="s">
        <v>879</v>
      </c>
      <c r="CQ787" s="213" t="s">
        <v>2914</v>
      </c>
      <c r="CR787" s="213" t="s">
        <v>2914</v>
      </c>
      <c r="CS787" s="213" t="s">
        <v>1620</v>
      </c>
      <c r="CT787" s="213" t="s">
        <v>1621</v>
      </c>
      <c r="CU787" s="213" t="s">
        <v>2206</v>
      </c>
      <c r="CV787" s="214" t="s">
        <v>2207</v>
      </c>
      <c r="CX787" s="212">
        <v>1</v>
      </c>
    </row>
    <row r="788" spans="91:102" ht="21" customHeight="1">
      <c r="CM788" s="210"/>
      <c r="CN788" s="213" t="s">
        <v>2915</v>
      </c>
      <c r="CO788" s="213" t="s">
        <v>896</v>
      </c>
      <c r="CP788" s="213" t="s">
        <v>879</v>
      </c>
      <c r="CQ788" s="213" t="s">
        <v>2916</v>
      </c>
      <c r="CR788" s="213" t="s">
        <v>2916</v>
      </c>
      <c r="CS788" s="213" t="s">
        <v>1620</v>
      </c>
      <c r="CT788" s="213" t="s">
        <v>1621</v>
      </c>
      <c r="CU788" s="213" t="s">
        <v>2206</v>
      </c>
      <c r="CV788" s="214" t="s">
        <v>2207</v>
      </c>
      <c r="CX788" s="212">
        <v>1</v>
      </c>
    </row>
    <row r="789" spans="91:102" ht="21" customHeight="1">
      <c r="CM789" s="210"/>
      <c r="CN789" s="213" t="s">
        <v>2917</v>
      </c>
      <c r="CO789" s="213" t="s">
        <v>896</v>
      </c>
      <c r="CP789" s="213" t="s">
        <v>879</v>
      </c>
      <c r="CQ789" s="213" t="s">
        <v>2918</v>
      </c>
      <c r="CR789" s="213" t="s">
        <v>2918</v>
      </c>
      <c r="CS789" s="213" t="s">
        <v>1620</v>
      </c>
      <c r="CT789" s="213" t="s">
        <v>1621</v>
      </c>
      <c r="CU789" s="213" t="s">
        <v>2206</v>
      </c>
      <c r="CV789" s="214" t="s">
        <v>2207</v>
      </c>
      <c r="CX789" s="212">
        <v>1</v>
      </c>
    </row>
    <row r="790" spans="91:102" ht="21" customHeight="1">
      <c r="CM790" s="210"/>
      <c r="CN790" s="213" t="s">
        <v>2919</v>
      </c>
      <c r="CO790" s="213" t="s">
        <v>896</v>
      </c>
      <c r="CP790" s="213" t="s">
        <v>879</v>
      </c>
      <c r="CQ790" s="213" t="s">
        <v>2920</v>
      </c>
      <c r="CR790" s="213" t="s">
        <v>2920</v>
      </c>
      <c r="CS790" s="213" t="s">
        <v>1620</v>
      </c>
      <c r="CT790" s="213" t="s">
        <v>1621</v>
      </c>
      <c r="CU790" s="213" t="s">
        <v>2206</v>
      </c>
      <c r="CV790" s="214" t="s">
        <v>2207</v>
      </c>
      <c r="CX790" s="212">
        <v>1</v>
      </c>
    </row>
    <row r="791" spans="91:102" ht="21" customHeight="1">
      <c r="CM791" s="210"/>
      <c r="CN791" s="213" t="s">
        <v>2921</v>
      </c>
      <c r="CO791" s="213" t="s">
        <v>896</v>
      </c>
      <c r="CP791" s="213" t="s">
        <v>879</v>
      </c>
      <c r="CQ791" s="213" t="s">
        <v>2922</v>
      </c>
      <c r="CR791" s="213" t="s">
        <v>2922</v>
      </c>
      <c r="CS791" s="213" t="s">
        <v>1620</v>
      </c>
      <c r="CT791" s="213" t="s">
        <v>1621</v>
      </c>
      <c r="CU791" s="213" t="s">
        <v>2206</v>
      </c>
      <c r="CV791" s="214" t="s">
        <v>2207</v>
      </c>
      <c r="CX791" s="212">
        <v>1</v>
      </c>
    </row>
    <row r="792" spans="91:102" ht="21" customHeight="1">
      <c r="CM792" s="210"/>
      <c r="CN792" s="213" t="s">
        <v>2923</v>
      </c>
      <c r="CO792" s="213" t="s">
        <v>896</v>
      </c>
      <c r="CP792" s="213" t="s">
        <v>879</v>
      </c>
      <c r="CQ792" s="213" t="s">
        <v>2924</v>
      </c>
      <c r="CR792" s="213" t="s">
        <v>2924</v>
      </c>
      <c r="CS792" s="213" t="s">
        <v>1620</v>
      </c>
      <c r="CT792" s="213" t="s">
        <v>1621</v>
      </c>
      <c r="CU792" s="213" t="s">
        <v>2206</v>
      </c>
      <c r="CV792" s="214" t="s">
        <v>2207</v>
      </c>
      <c r="CX792" s="212">
        <v>1</v>
      </c>
    </row>
    <row r="793" spans="91:102" ht="21" customHeight="1">
      <c r="CM793" s="210"/>
      <c r="CN793" s="213" t="s">
        <v>2925</v>
      </c>
      <c r="CO793" s="213" t="s">
        <v>896</v>
      </c>
      <c r="CP793" s="213" t="s">
        <v>879</v>
      </c>
      <c r="CQ793" s="213" t="s">
        <v>2926</v>
      </c>
      <c r="CR793" s="213" t="s">
        <v>2926</v>
      </c>
      <c r="CS793" s="213" t="s">
        <v>1620</v>
      </c>
      <c r="CT793" s="213" t="s">
        <v>1621</v>
      </c>
      <c r="CU793" s="213" t="s">
        <v>2206</v>
      </c>
      <c r="CV793" s="214" t="s">
        <v>2207</v>
      </c>
      <c r="CX793" s="212">
        <v>1</v>
      </c>
    </row>
    <row r="794" spans="91:102" ht="21" customHeight="1">
      <c r="CM794" s="210"/>
      <c r="CN794" s="213" t="s">
        <v>2927</v>
      </c>
      <c r="CO794" s="213" t="s">
        <v>896</v>
      </c>
      <c r="CP794" s="213" t="s">
        <v>879</v>
      </c>
      <c r="CQ794" s="213" t="s">
        <v>2928</v>
      </c>
      <c r="CR794" s="213" t="s">
        <v>2928</v>
      </c>
      <c r="CS794" s="213" t="s">
        <v>1620</v>
      </c>
      <c r="CT794" s="213" t="s">
        <v>1621</v>
      </c>
      <c r="CU794" s="213" t="s">
        <v>2206</v>
      </c>
      <c r="CV794" s="214" t="s">
        <v>2207</v>
      </c>
      <c r="CX794" s="212">
        <v>1</v>
      </c>
    </row>
    <row r="795" spans="91:102" ht="21" customHeight="1">
      <c r="CM795" s="210"/>
      <c r="CN795" s="213" t="s">
        <v>2929</v>
      </c>
      <c r="CO795" s="213" t="s">
        <v>896</v>
      </c>
      <c r="CP795" s="213" t="s">
        <v>879</v>
      </c>
      <c r="CQ795" s="213" t="s">
        <v>2930</v>
      </c>
      <c r="CR795" s="213" t="s">
        <v>2930</v>
      </c>
      <c r="CS795" s="213" t="s">
        <v>1620</v>
      </c>
      <c r="CT795" s="213" t="s">
        <v>1621</v>
      </c>
      <c r="CU795" s="213" t="s">
        <v>2206</v>
      </c>
      <c r="CV795" s="214" t="s">
        <v>2207</v>
      </c>
      <c r="CX795" s="212">
        <v>1</v>
      </c>
    </row>
    <row r="796" spans="91:102" ht="21" customHeight="1">
      <c r="CM796" s="210"/>
      <c r="CN796" s="213" t="s">
        <v>2931</v>
      </c>
      <c r="CO796" s="213" t="s">
        <v>896</v>
      </c>
      <c r="CP796" s="213" t="s">
        <v>879</v>
      </c>
      <c r="CQ796" s="213" t="s">
        <v>2932</v>
      </c>
      <c r="CR796" s="213" t="s">
        <v>2932</v>
      </c>
      <c r="CS796" s="213" t="s">
        <v>1620</v>
      </c>
      <c r="CT796" s="213" t="s">
        <v>1621</v>
      </c>
      <c r="CU796" s="213" t="s">
        <v>2206</v>
      </c>
      <c r="CV796" s="214" t="s">
        <v>2207</v>
      </c>
      <c r="CX796" s="212">
        <v>1</v>
      </c>
    </row>
    <row r="797" spans="91:102" ht="21" customHeight="1">
      <c r="CM797" s="210"/>
      <c r="CN797" s="213" t="s">
        <v>2933</v>
      </c>
      <c r="CO797" s="213" t="s">
        <v>896</v>
      </c>
      <c r="CP797" s="213" t="s">
        <v>879</v>
      </c>
      <c r="CQ797" s="213" t="s">
        <v>2934</v>
      </c>
      <c r="CR797" s="213" t="s">
        <v>2934</v>
      </c>
      <c r="CS797" s="213" t="s">
        <v>1620</v>
      </c>
      <c r="CT797" s="213" t="s">
        <v>1621</v>
      </c>
      <c r="CU797" s="213" t="s">
        <v>2206</v>
      </c>
      <c r="CV797" s="214" t="s">
        <v>2207</v>
      </c>
      <c r="CX797" s="212">
        <v>1</v>
      </c>
    </row>
    <row r="798" spans="91:102" ht="21" customHeight="1">
      <c r="CM798" s="210"/>
      <c r="CN798" s="213" t="s">
        <v>2935</v>
      </c>
      <c r="CO798" s="213" t="s">
        <v>896</v>
      </c>
      <c r="CP798" s="213" t="s">
        <v>879</v>
      </c>
      <c r="CQ798" s="213" t="s">
        <v>2936</v>
      </c>
      <c r="CR798" s="213" t="s">
        <v>2936</v>
      </c>
      <c r="CS798" s="213" t="s">
        <v>1620</v>
      </c>
      <c r="CT798" s="213" t="s">
        <v>1621</v>
      </c>
      <c r="CU798" s="213" t="s">
        <v>2206</v>
      </c>
      <c r="CV798" s="214" t="s">
        <v>2207</v>
      </c>
      <c r="CX798" s="212">
        <v>1</v>
      </c>
    </row>
    <row r="799" spans="91:102" ht="21" customHeight="1">
      <c r="CM799" s="210"/>
      <c r="CN799" s="213" t="s">
        <v>2937</v>
      </c>
      <c r="CO799" s="213" t="s">
        <v>896</v>
      </c>
      <c r="CP799" s="213" t="s">
        <v>879</v>
      </c>
      <c r="CQ799" s="213" t="s">
        <v>2938</v>
      </c>
      <c r="CR799" s="213" t="s">
        <v>2938</v>
      </c>
      <c r="CS799" s="213" t="s">
        <v>1620</v>
      </c>
      <c r="CT799" s="213" t="s">
        <v>1621</v>
      </c>
      <c r="CU799" s="213" t="s">
        <v>2206</v>
      </c>
      <c r="CV799" s="214" t="s">
        <v>2207</v>
      </c>
      <c r="CX799" s="212">
        <v>1</v>
      </c>
    </row>
    <row r="800" spans="91:102" ht="21" customHeight="1">
      <c r="CM800" s="210"/>
      <c r="CN800" s="213" t="s">
        <v>2939</v>
      </c>
      <c r="CO800" s="213" t="s">
        <v>896</v>
      </c>
      <c r="CP800" s="213" t="s">
        <v>879</v>
      </c>
      <c r="CQ800" s="213" t="s">
        <v>2940</v>
      </c>
      <c r="CR800" s="213" t="s">
        <v>2940</v>
      </c>
      <c r="CS800" s="213" t="s">
        <v>1620</v>
      </c>
      <c r="CT800" s="213" t="s">
        <v>1621</v>
      </c>
      <c r="CU800" s="213" t="s">
        <v>2206</v>
      </c>
      <c r="CV800" s="214" t="s">
        <v>2207</v>
      </c>
      <c r="CX800" s="212">
        <v>1</v>
      </c>
    </row>
    <row r="801" spans="91:102" ht="21" customHeight="1">
      <c r="CM801" s="210"/>
      <c r="CN801" s="213" t="s">
        <v>2941</v>
      </c>
      <c r="CO801" s="213" t="s">
        <v>896</v>
      </c>
      <c r="CP801" s="213" t="s">
        <v>879</v>
      </c>
      <c r="CQ801" s="213" t="s">
        <v>2942</v>
      </c>
      <c r="CR801" s="213" t="s">
        <v>2942</v>
      </c>
      <c r="CS801" s="213" t="s">
        <v>1620</v>
      </c>
      <c r="CT801" s="213" t="s">
        <v>1621</v>
      </c>
      <c r="CU801" s="213" t="s">
        <v>2206</v>
      </c>
      <c r="CV801" s="214" t="s">
        <v>2207</v>
      </c>
      <c r="CX801" s="212">
        <v>1</v>
      </c>
    </row>
    <row r="802" spans="91:102" ht="21" customHeight="1">
      <c r="CM802" s="210"/>
      <c r="CN802" s="213" t="s">
        <v>2943</v>
      </c>
      <c r="CO802" s="213" t="s">
        <v>896</v>
      </c>
      <c r="CP802" s="213" t="s">
        <v>879</v>
      </c>
      <c r="CQ802" s="213" t="s">
        <v>2944</v>
      </c>
      <c r="CR802" s="213" t="s">
        <v>2944</v>
      </c>
      <c r="CS802" s="213" t="s">
        <v>1620</v>
      </c>
      <c r="CT802" s="213" t="s">
        <v>1621</v>
      </c>
      <c r="CU802" s="213" t="s">
        <v>2206</v>
      </c>
      <c r="CV802" s="214" t="s">
        <v>2207</v>
      </c>
      <c r="CX802" s="212">
        <v>1</v>
      </c>
    </row>
    <row r="803" spans="91:102" ht="21" customHeight="1">
      <c r="CM803" s="210"/>
      <c r="CN803" s="213" t="s">
        <v>2945</v>
      </c>
      <c r="CO803" s="213" t="s">
        <v>896</v>
      </c>
      <c r="CP803" s="213" t="s">
        <v>879</v>
      </c>
      <c r="CQ803" s="213" t="s">
        <v>2946</v>
      </c>
      <c r="CR803" s="213" t="s">
        <v>2946</v>
      </c>
      <c r="CS803" s="213" t="s">
        <v>1620</v>
      </c>
      <c r="CT803" s="213" t="s">
        <v>1621</v>
      </c>
      <c r="CU803" s="213" t="s">
        <v>2206</v>
      </c>
      <c r="CV803" s="214" t="s">
        <v>2207</v>
      </c>
      <c r="CX803" s="212">
        <v>1</v>
      </c>
    </row>
    <row r="804" spans="91:102" ht="21" customHeight="1">
      <c r="CM804" s="210"/>
      <c r="CN804" s="213" t="s">
        <v>2947</v>
      </c>
      <c r="CO804" s="213" t="s">
        <v>896</v>
      </c>
      <c r="CP804" s="213" t="s">
        <v>879</v>
      </c>
      <c r="CQ804" s="213" t="s">
        <v>2948</v>
      </c>
      <c r="CR804" s="213" t="s">
        <v>2948</v>
      </c>
      <c r="CS804" s="213" t="s">
        <v>1620</v>
      </c>
      <c r="CT804" s="213" t="s">
        <v>1621</v>
      </c>
      <c r="CU804" s="213" t="s">
        <v>2206</v>
      </c>
      <c r="CV804" s="214" t="s">
        <v>2207</v>
      </c>
      <c r="CX804" s="212">
        <v>1</v>
      </c>
    </row>
    <row r="805" spans="91:102" ht="21" customHeight="1">
      <c r="CM805" s="210"/>
      <c r="CN805" s="213" t="s">
        <v>2949</v>
      </c>
      <c r="CO805" s="213" t="s">
        <v>896</v>
      </c>
      <c r="CP805" s="213" t="s">
        <v>879</v>
      </c>
      <c r="CQ805" s="213" t="s">
        <v>2950</v>
      </c>
      <c r="CR805" s="213" t="s">
        <v>2950</v>
      </c>
      <c r="CS805" s="213" t="s">
        <v>1620</v>
      </c>
      <c r="CT805" s="213" t="s">
        <v>1621</v>
      </c>
      <c r="CU805" s="213" t="s">
        <v>2206</v>
      </c>
      <c r="CV805" s="214" t="s">
        <v>2207</v>
      </c>
      <c r="CX805" s="212">
        <v>1</v>
      </c>
    </row>
    <row r="806" spans="91:102" ht="21" customHeight="1">
      <c r="CM806" s="210"/>
      <c r="CN806" s="213" t="s">
        <v>2951</v>
      </c>
      <c r="CO806" s="213" t="s">
        <v>896</v>
      </c>
      <c r="CP806" s="213" t="s">
        <v>879</v>
      </c>
      <c r="CQ806" s="213" t="s">
        <v>2952</v>
      </c>
      <c r="CR806" s="213" t="s">
        <v>2952</v>
      </c>
      <c r="CS806" s="213" t="s">
        <v>971</v>
      </c>
      <c r="CT806" s="213" t="s">
        <v>972</v>
      </c>
      <c r="CU806" s="213" t="s">
        <v>883</v>
      </c>
      <c r="CV806" s="214" t="s">
        <v>973</v>
      </c>
      <c r="CX806" s="212">
        <v>1</v>
      </c>
    </row>
    <row r="807" spans="91:102" ht="21" customHeight="1">
      <c r="CM807" s="210"/>
      <c r="CN807" s="213" t="s">
        <v>2953</v>
      </c>
      <c r="CO807" s="213" t="s">
        <v>896</v>
      </c>
      <c r="CP807" s="213" t="s">
        <v>879</v>
      </c>
      <c r="CQ807" s="213" t="s">
        <v>2954</v>
      </c>
      <c r="CR807" s="213" t="s">
        <v>2954</v>
      </c>
      <c r="CS807" s="213" t="s">
        <v>971</v>
      </c>
      <c r="CT807" s="213" t="s">
        <v>972</v>
      </c>
      <c r="CU807" s="213" t="s">
        <v>883</v>
      </c>
      <c r="CV807" s="214" t="s">
        <v>973</v>
      </c>
      <c r="CX807" s="212">
        <v>1</v>
      </c>
    </row>
    <row r="808" spans="91:102" ht="21" customHeight="1">
      <c r="CM808" s="210"/>
      <c r="CN808" s="213" t="s">
        <v>2955</v>
      </c>
      <c r="CO808" s="213" t="s">
        <v>896</v>
      </c>
      <c r="CP808" s="213" t="s">
        <v>879</v>
      </c>
      <c r="CQ808" s="213" t="s">
        <v>2956</v>
      </c>
      <c r="CR808" s="213" t="s">
        <v>2956</v>
      </c>
      <c r="CS808" s="213" t="s">
        <v>1620</v>
      </c>
      <c r="CT808" s="213" t="s">
        <v>1621</v>
      </c>
      <c r="CU808" s="213" t="s">
        <v>2206</v>
      </c>
      <c r="CV808" s="214" t="s">
        <v>2207</v>
      </c>
      <c r="CX808" s="212">
        <v>1</v>
      </c>
    </row>
    <row r="809" spans="91:102" ht="21" customHeight="1">
      <c r="CM809" s="210"/>
      <c r="CN809" s="213" t="s">
        <v>2957</v>
      </c>
      <c r="CO809" s="213" t="s">
        <v>896</v>
      </c>
      <c r="CP809" s="213" t="s">
        <v>879</v>
      </c>
      <c r="CQ809" s="213" t="s">
        <v>2958</v>
      </c>
      <c r="CR809" s="213" t="s">
        <v>2958</v>
      </c>
      <c r="CS809" s="213" t="s">
        <v>1620</v>
      </c>
      <c r="CT809" s="213" t="s">
        <v>1621</v>
      </c>
      <c r="CU809" s="213" t="s">
        <v>2206</v>
      </c>
      <c r="CV809" s="214" t="s">
        <v>2207</v>
      </c>
      <c r="CX809" s="212">
        <v>1</v>
      </c>
    </row>
    <row r="810" spans="91:102" ht="21" customHeight="1">
      <c r="CM810" s="210"/>
      <c r="CN810" s="213" t="s">
        <v>2959</v>
      </c>
      <c r="CO810" s="213" t="s">
        <v>896</v>
      </c>
      <c r="CP810" s="213" t="s">
        <v>879</v>
      </c>
      <c r="CQ810" s="213" t="s">
        <v>2960</v>
      </c>
      <c r="CR810" s="213" t="s">
        <v>2960</v>
      </c>
      <c r="CS810" s="213" t="s">
        <v>1620</v>
      </c>
      <c r="CT810" s="213" t="s">
        <v>1621</v>
      </c>
      <c r="CU810" s="213" t="s">
        <v>2206</v>
      </c>
      <c r="CV810" s="214" t="s">
        <v>2207</v>
      </c>
      <c r="CX810" s="212">
        <v>1</v>
      </c>
    </row>
    <row r="811" spans="91:102" ht="21" customHeight="1">
      <c r="CM811" s="210"/>
      <c r="CN811" s="213" t="s">
        <v>2961</v>
      </c>
      <c r="CO811" s="213" t="s">
        <v>896</v>
      </c>
      <c r="CP811" s="213" t="s">
        <v>879</v>
      </c>
      <c r="CQ811" s="213" t="s">
        <v>2962</v>
      </c>
      <c r="CR811" s="213" t="s">
        <v>2962</v>
      </c>
      <c r="CS811" s="213" t="s">
        <v>1620</v>
      </c>
      <c r="CT811" s="213" t="s">
        <v>1621</v>
      </c>
      <c r="CU811" s="213" t="s">
        <v>2206</v>
      </c>
      <c r="CV811" s="214" t="s">
        <v>2207</v>
      </c>
      <c r="CX811" s="212">
        <v>1</v>
      </c>
    </row>
    <row r="812" spans="91:102" ht="21" customHeight="1">
      <c r="CM812" s="210"/>
      <c r="CN812" s="213" t="s">
        <v>2963</v>
      </c>
      <c r="CO812" s="213" t="s">
        <v>896</v>
      </c>
      <c r="CP812" s="213" t="s">
        <v>879</v>
      </c>
      <c r="CQ812" s="213" t="s">
        <v>2964</v>
      </c>
      <c r="CR812" s="213" t="s">
        <v>2964</v>
      </c>
      <c r="CS812" s="213" t="s">
        <v>1620</v>
      </c>
      <c r="CT812" s="213" t="s">
        <v>1621</v>
      </c>
      <c r="CU812" s="213" t="s">
        <v>2206</v>
      </c>
      <c r="CV812" s="214" t="s">
        <v>2207</v>
      </c>
      <c r="CX812" s="212">
        <v>1</v>
      </c>
    </row>
    <row r="813" spans="91:102" ht="21" customHeight="1">
      <c r="CM813" s="210"/>
      <c r="CN813" s="213" t="s">
        <v>2965</v>
      </c>
      <c r="CO813" s="213" t="s">
        <v>896</v>
      </c>
      <c r="CP813" s="213" t="s">
        <v>879</v>
      </c>
      <c r="CQ813" s="213" t="s">
        <v>2966</v>
      </c>
      <c r="CR813" s="213" t="s">
        <v>2966</v>
      </c>
      <c r="CS813" s="213" t="s">
        <v>1620</v>
      </c>
      <c r="CT813" s="213" t="s">
        <v>1621</v>
      </c>
      <c r="CU813" s="213" t="s">
        <v>2206</v>
      </c>
      <c r="CV813" s="214" t="s">
        <v>2207</v>
      </c>
      <c r="CX813" s="212">
        <v>1</v>
      </c>
    </row>
    <row r="814" spans="91:102" ht="21" customHeight="1">
      <c r="CM814" s="210"/>
      <c r="CN814" s="213" t="s">
        <v>2967</v>
      </c>
      <c r="CO814" s="213" t="s">
        <v>896</v>
      </c>
      <c r="CP814" s="213" t="s">
        <v>879</v>
      </c>
      <c r="CQ814" s="213" t="s">
        <v>2968</v>
      </c>
      <c r="CR814" s="213" t="s">
        <v>2968</v>
      </c>
      <c r="CS814" s="213" t="s">
        <v>1620</v>
      </c>
      <c r="CT814" s="213" t="s">
        <v>1621</v>
      </c>
      <c r="CU814" s="213" t="s">
        <v>2206</v>
      </c>
      <c r="CV814" s="214" t="s">
        <v>2207</v>
      </c>
      <c r="CX814" s="212">
        <v>1</v>
      </c>
    </row>
    <row r="815" spans="91:102" ht="21" customHeight="1">
      <c r="CM815" s="210"/>
      <c r="CN815" s="213" t="s">
        <v>2969</v>
      </c>
      <c r="CO815" s="213" t="s">
        <v>896</v>
      </c>
      <c r="CP815" s="213" t="s">
        <v>879</v>
      </c>
      <c r="CQ815" s="213" t="s">
        <v>2970</v>
      </c>
      <c r="CR815" s="213" t="s">
        <v>2970</v>
      </c>
      <c r="CS815" s="213" t="s">
        <v>1620</v>
      </c>
      <c r="CT815" s="213" t="s">
        <v>1621</v>
      </c>
      <c r="CU815" s="213" t="s">
        <v>2206</v>
      </c>
      <c r="CV815" s="214" t="s">
        <v>2207</v>
      </c>
      <c r="CX815" s="212">
        <v>1</v>
      </c>
    </row>
    <row r="816" spans="91:102" ht="21" customHeight="1">
      <c r="CM816" s="210"/>
      <c r="CN816" s="213" t="s">
        <v>2971</v>
      </c>
      <c r="CO816" s="213" t="s">
        <v>896</v>
      </c>
      <c r="CP816" s="213" t="s">
        <v>879</v>
      </c>
      <c r="CQ816" s="213" t="s">
        <v>2972</v>
      </c>
      <c r="CR816" s="213" t="s">
        <v>2972</v>
      </c>
      <c r="CS816" s="213" t="s">
        <v>881</v>
      </c>
      <c r="CT816" s="213" t="s">
        <v>2289</v>
      </c>
      <c r="CU816" s="213" t="s">
        <v>883</v>
      </c>
      <c r="CV816" s="214" t="s">
        <v>884</v>
      </c>
      <c r="CX816" s="212">
        <v>1</v>
      </c>
    </row>
    <row r="817" spans="91:102" ht="21" customHeight="1">
      <c r="CM817" s="210"/>
      <c r="CN817" s="213" t="s">
        <v>2973</v>
      </c>
      <c r="CO817" s="213" t="s">
        <v>896</v>
      </c>
      <c r="CP817" s="213" t="s">
        <v>879</v>
      </c>
      <c r="CQ817" s="213" t="s">
        <v>2974</v>
      </c>
      <c r="CR817" s="213" t="s">
        <v>2974</v>
      </c>
      <c r="CS817" s="213" t="s">
        <v>1620</v>
      </c>
      <c r="CT817" s="213" t="s">
        <v>1621</v>
      </c>
      <c r="CU817" s="213" t="s">
        <v>2206</v>
      </c>
      <c r="CV817" s="214" t="s">
        <v>2207</v>
      </c>
      <c r="CX817" s="212">
        <v>1</v>
      </c>
    </row>
    <row r="818" spans="91:102" ht="21" customHeight="1">
      <c r="CM818" s="210"/>
      <c r="CN818" s="213" t="s">
        <v>2975</v>
      </c>
      <c r="CO818" s="213" t="s">
        <v>896</v>
      </c>
      <c r="CP818" s="213" t="s">
        <v>879</v>
      </c>
      <c r="CQ818" s="213" t="s">
        <v>2976</v>
      </c>
      <c r="CR818" s="213" t="s">
        <v>2976</v>
      </c>
      <c r="CS818" s="213" t="s">
        <v>1620</v>
      </c>
      <c r="CT818" s="213" t="s">
        <v>1621</v>
      </c>
      <c r="CU818" s="213" t="s">
        <v>2206</v>
      </c>
      <c r="CV818" s="214" t="s">
        <v>2207</v>
      </c>
      <c r="CX818" s="212">
        <v>1</v>
      </c>
    </row>
    <row r="819" spans="91:102" ht="21" customHeight="1">
      <c r="CM819" s="210"/>
      <c r="CN819" s="213" t="s">
        <v>2977</v>
      </c>
      <c r="CO819" s="213" t="s">
        <v>896</v>
      </c>
      <c r="CP819" s="213" t="s">
        <v>879</v>
      </c>
      <c r="CQ819" s="213" t="s">
        <v>2978</v>
      </c>
      <c r="CR819" s="213" t="s">
        <v>2978</v>
      </c>
      <c r="CS819" s="213" t="s">
        <v>1620</v>
      </c>
      <c r="CT819" s="213" t="s">
        <v>1621</v>
      </c>
      <c r="CU819" s="213" t="s">
        <v>2206</v>
      </c>
      <c r="CV819" s="214" t="s">
        <v>2207</v>
      </c>
      <c r="CX819" s="212">
        <v>1</v>
      </c>
    </row>
    <row r="820" spans="91:102" ht="21" customHeight="1">
      <c r="CM820" s="210"/>
      <c r="CN820" s="213" t="s">
        <v>2979</v>
      </c>
      <c r="CO820" s="213" t="s">
        <v>896</v>
      </c>
      <c r="CP820" s="213" t="s">
        <v>879</v>
      </c>
      <c r="CQ820" s="213" t="s">
        <v>2980</v>
      </c>
      <c r="CR820" s="213" t="s">
        <v>2980</v>
      </c>
      <c r="CS820" s="213" t="s">
        <v>1620</v>
      </c>
      <c r="CT820" s="213" t="s">
        <v>1621</v>
      </c>
      <c r="CU820" s="213" t="s">
        <v>2206</v>
      </c>
      <c r="CV820" s="214" t="s">
        <v>2207</v>
      </c>
      <c r="CX820" s="212">
        <v>1</v>
      </c>
    </row>
    <row r="821" spans="91:102" ht="21" customHeight="1">
      <c r="CM821" s="210"/>
      <c r="CN821" s="213" t="s">
        <v>2981</v>
      </c>
      <c r="CO821" s="213" t="s">
        <v>896</v>
      </c>
      <c r="CP821" s="213" t="s">
        <v>879</v>
      </c>
      <c r="CQ821" s="213" t="s">
        <v>2982</v>
      </c>
      <c r="CR821" s="213" t="s">
        <v>2982</v>
      </c>
      <c r="CS821" s="213" t="s">
        <v>1620</v>
      </c>
      <c r="CT821" s="213" t="s">
        <v>1621</v>
      </c>
      <c r="CU821" s="213" t="s">
        <v>2206</v>
      </c>
      <c r="CV821" s="214" t="s">
        <v>2207</v>
      </c>
      <c r="CX821" s="212">
        <v>1</v>
      </c>
    </row>
    <row r="822" spans="91:102" ht="21" customHeight="1">
      <c r="CM822" s="210"/>
      <c r="CN822" s="213" t="s">
        <v>2983</v>
      </c>
      <c r="CO822" s="213" t="s">
        <v>896</v>
      </c>
      <c r="CP822" s="213" t="s">
        <v>879</v>
      </c>
      <c r="CQ822" s="213" t="s">
        <v>2984</v>
      </c>
      <c r="CR822" s="213" t="s">
        <v>2984</v>
      </c>
      <c r="CS822" s="213" t="s">
        <v>1620</v>
      </c>
      <c r="CT822" s="213" t="s">
        <v>1621</v>
      </c>
      <c r="CU822" s="213" t="s">
        <v>2206</v>
      </c>
      <c r="CV822" s="214" t="s">
        <v>2207</v>
      </c>
      <c r="CX822" s="212">
        <v>1</v>
      </c>
    </row>
    <row r="823" spans="91:102" ht="21" customHeight="1">
      <c r="CM823" s="210"/>
      <c r="CN823" s="213" t="s">
        <v>2985</v>
      </c>
      <c r="CO823" s="213" t="s">
        <v>896</v>
      </c>
      <c r="CP823" s="213" t="s">
        <v>879</v>
      </c>
      <c r="CQ823" s="213" t="s">
        <v>2986</v>
      </c>
      <c r="CR823" s="213" t="s">
        <v>2986</v>
      </c>
      <c r="CS823" s="213" t="s">
        <v>1620</v>
      </c>
      <c r="CT823" s="213" t="s">
        <v>1621</v>
      </c>
      <c r="CU823" s="213" t="s">
        <v>2206</v>
      </c>
      <c r="CV823" s="214" t="s">
        <v>2207</v>
      </c>
      <c r="CX823" s="212">
        <v>1</v>
      </c>
    </row>
    <row r="824" spans="91:102" ht="21" customHeight="1">
      <c r="CM824" s="210"/>
      <c r="CN824" s="213" t="s">
        <v>2987</v>
      </c>
      <c r="CO824" s="213" t="s">
        <v>896</v>
      </c>
      <c r="CP824" s="213" t="s">
        <v>879</v>
      </c>
      <c r="CQ824" s="213" t="s">
        <v>2988</v>
      </c>
      <c r="CR824" s="213" t="s">
        <v>2988</v>
      </c>
      <c r="CS824" s="213" t="s">
        <v>1620</v>
      </c>
      <c r="CT824" s="213" t="s">
        <v>1621</v>
      </c>
      <c r="CU824" s="213" t="s">
        <v>2206</v>
      </c>
      <c r="CV824" s="214" t="s">
        <v>2207</v>
      </c>
      <c r="CX824" s="212">
        <v>1</v>
      </c>
    </row>
    <row r="825" spans="91:102" ht="21" customHeight="1">
      <c r="CM825" s="210"/>
      <c r="CN825" s="213" t="s">
        <v>2989</v>
      </c>
      <c r="CO825" s="213" t="s">
        <v>896</v>
      </c>
      <c r="CP825" s="213" t="s">
        <v>879</v>
      </c>
      <c r="CQ825" s="213" t="s">
        <v>2990</v>
      </c>
      <c r="CR825" s="213" t="s">
        <v>2990</v>
      </c>
      <c r="CS825" s="213" t="s">
        <v>1620</v>
      </c>
      <c r="CT825" s="213" t="s">
        <v>1621</v>
      </c>
      <c r="CU825" s="213" t="s">
        <v>2206</v>
      </c>
      <c r="CV825" s="214" t="s">
        <v>2207</v>
      </c>
      <c r="CX825" s="212">
        <v>1</v>
      </c>
    </row>
    <row r="826" spans="91:102" ht="21" customHeight="1">
      <c r="CM826" s="210"/>
      <c r="CN826" s="213" t="s">
        <v>2991</v>
      </c>
      <c r="CO826" s="213" t="s">
        <v>896</v>
      </c>
      <c r="CP826" s="213" t="s">
        <v>879</v>
      </c>
      <c r="CQ826" s="213" t="s">
        <v>2992</v>
      </c>
      <c r="CR826" s="213" t="s">
        <v>2992</v>
      </c>
      <c r="CS826" s="213" t="s">
        <v>1620</v>
      </c>
      <c r="CT826" s="213" t="s">
        <v>1621</v>
      </c>
      <c r="CU826" s="213" t="s">
        <v>2206</v>
      </c>
      <c r="CV826" s="214" t="s">
        <v>2207</v>
      </c>
      <c r="CX826" s="212">
        <v>1</v>
      </c>
    </row>
    <row r="827" spans="91:102" ht="21" customHeight="1">
      <c r="CM827" s="210"/>
      <c r="CN827" s="213" t="s">
        <v>2993</v>
      </c>
      <c r="CO827" s="213" t="s">
        <v>896</v>
      </c>
      <c r="CP827" s="213" t="s">
        <v>879</v>
      </c>
      <c r="CQ827" s="213" t="s">
        <v>2994</v>
      </c>
      <c r="CR827" s="213" t="s">
        <v>2994</v>
      </c>
      <c r="CS827" s="213" t="s">
        <v>1620</v>
      </c>
      <c r="CT827" s="213" t="s">
        <v>1621</v>
      </c>
      <c r="CU827" s="213" t="s">
        <v>2206</v>
      </c>
      <c r="CV827" s="214" t="s">
        <v>2207</v>
      </c>
      <c r="CX827" s="212">
        <v>1</v>
      </c>
    </row>
    <row r="828" spans="91:102" ht="21" customHeight="1">
      <c r="CM828" s="210"/>
      <c r="CN828" s="213" t="s">
        <v>2995</v>
      </c>
      <c r="CO828" s="213" t="s">
        <v>896</v>
      </c>
      <c r="CP828" s="213" t="s">
        <v>879</v>
      </c>
      <c r="CQ828" s="213" t="s">
        <v>2996</v>
      </c>
      <c r="CR828" s="213" t="s">
        <v>2996</v>
      </c>
      <c r="CS828" s="213" t="s">
        <v>1620</v>
      </c>
      <c r="CT828" s="213" t="s">
        <v>1621</v>
      </c>
      <c r="CU828" s="213" t="s">
        <v>2206</v>
      </c>
      <c r="CV828" s="214" t="s">
        <v>2207</v>
      </c>
      <c r="CX828" s="212">
        <v>1</v>
      </c>
    </row>
    <row r="829" spans="91:102" ht="21" customHeight="1">
      <c r="CM829" s="210"/>
      <c r="CN829" s="213" t="s">
        <v>2997</v>
      </c>
      <c r="CO829" s="213" t="s">
        <v>896</v>
      </c>
      <c r="CP829" s="213" t="s">
        <v>879</v>
      </c>
      <c r="CQ829" s="213" t="s">
        <v>2998</v>
      </c>
      <c r="CR829" s="213" t="s">
        <v>2998</v>
      </c>
      <c r="CS829" s="213" t="s">
        <v>1620</v>
      </c>
      <c r="CT829" s="213" t="s">
        <v>1621</v>
      </c>
      <c r="CU829" s="213" t="s">
        <v>2206</v>
      </c>
      <c r="CV829" s="214" t="s">
        <v>2207</v>
      </c>
      <c r="CX829" s="212">
        <v>1</v>
      </c>
    </row>
    <row r="830" spans="91:102" ht="21" customHeight="1">
      <c r="CM830" s="210"/>
      <c r="CN830" s="213" t="s">
        <v>2999</v>
      </c>
      <c r="CO830" s="213" t="s">
        <v>896</v>
      </c>
      <c r="CP830" s="213" t="s">
        <v>879</v>
      </c>
      <c r="CQ830" s="213" t="s">
        <v>3000</v>
      </c>
      <c r="CR830" s="213" t="s">
        <v>3000</v>
      </c>
      <c r="CS830" s="213" t="s">
        <v>1620</v>
      </c>
      <c r="CT830" s="213" t="s">
        <v>1621</v>
      </c>
      <c r="CU830" s="213" t="s">
        <v>2206</v>
      </c>
      <c r="CV830" s="214" t="s">
        <v>2207</v>
      </c>
      <c r="CX830" s="212">
        <v>1</v>
      </c>
    </row>
    <row r="831" spans="91:102" ht="21" customHeight="1">
      <c r="CM831" s="210"/>
      <c r="CN831" s="213" t="s">
        <v>3001</v>
      </c>
      <c r="CO831" s="213" t="s">
        <v>896</v>
      </c>
      <c r="CP831" s="213" t="s">
        <v>879</v>
      </c>
      <c r="CQ831" s="213" t="s">
        <v>3002</v>
      </c>
      <c r="CR831" s="213" t="s">
        <v>3002</v>
      </c>
      <c r="CS831" s="213" t="s">
        <v>1620</v>
      </c>
      <c r="CT831" s="213" t="s">
        <v>1621</v>
      </c>
      <c r="CU831" s="213" t="s">
        <v>2206</v>
      </c>
      <c r="CV831" s="214" t="s">
        <v>2207</v>
      </c>
      <c r="CX831" s="212">
        <v>1</v>
      </c>
    </row>
    <row r="832" spans="91:102" ht="21" customHeight="1">
      <c r="CM832" s="210"/>
      <c r="CN832" s="213" t="s">
        <v>3003</v>
      </c>
      <c r="CO832" s="213" t="s">
        <v>896</v>
      </c>
      <c r="CP832" s="213" t="s">
        <v>879</v>
      </c>
      <c r="CQ832" s="213" t="s">
        <v>3004</v>
      </c>
      <c r="CR832" s="213" t="s">
        <v>3004</v>
      </c>
      <c r="CS832" s="213" t="s">
        <v>1620</v>
      </c>
      <c r="CT832" s="213" t="s">
        <v>1621</v>
      </c>
      <c r="CU832" s="213" t="s">
        <v>2206</v>
      </c>
      <c r="CV832" s="214" t="s">
        <v>2207</v>
      </c>
      <c r="CX832" s="212">
        <v>1</v>
      </c>
    </row>
    <row r="833" spans="91:102" ht="21" customHeight="1">
      <c r="CM833" s="210"/>
      <c r="CN833" s="213" t="s">
        <v>3005</v>
      </c>
      <c r="CO833" s="213" t="s">
        <v>896</v>
      </c>
      <c r="CP833" s="213" t="s">
        <v>879</v>
      </c>
      <c r="CQ833" s="213" t="s">
        <v>3006</v>
      </c>
      <c r="CR833" s="213" t="s">
        <v>3006</v>
      </c>
      <c r="CS833" s="213" t="s">
        <v>1620</v>
      </c>
      <c r="CT833" s="213" t="s">
        <v>1621</v>
      </c>
      <c r="CU833" s="213" t="s">
        <v>2206</v>
      </c>
      <c r="CV833" s="214" t="s">
        <v>2207</v>
      </c>
      <c r="CX833" s="212">
        <v>1</v>
      </c>
    </row>
    <row r="834" spans="91:102" ht="21" customHeight="1">
      <c r="CM834" s="210"/>
      <c r="CN834" s="213" t="s">
        <v>3007</v>
      </c>
      <c r="CO834" s="213" t="s">
        <v>896</v>
      </c>
      <c r="CP834" s="213" t="s">
        <v>879</v>
      </c>
      <c r="CQ834" s="213" t="s">
        <v>3008</v>
      </c>
      <c r="CR834" s="213" t="s">
        <v>3008</v>
      </c>
      <c r="CS834" s="213" t="s">
        <v>1620</v>
      </c>
      <c r="CT834" s="213" t="s">
        <v>1621</v>
      </c>
      <c r="CU834" s="213" t="s">
        <v>2206</v>
      </c>
      <c r="CV834" s="214" t="s">
        <v>2207</v>
      </c>
      <c r="CX834" s="212">
        <v>1</v>
      </c>
    </row>
    <row r="835" spans="91:102" ht="21" customHeight="1">
      <c r="CM835" s="210"/>
      <c r="CN835" s="213" t="s">
        <v>3009</v>
      </c>
      <c r="CO835" s="213" t="s">
        <v>896</v>
      </c>
      <c r="CP835" s="213" t="s">
        <v>879</v>
      </c>
      <c r="CQ835" s="213" t="s">
        <v>3010</v>
      </c>
      <c r="CR835" s="213" t="s">
        <v>3010</v>
      </c>
      <c r="CS835" s="213" t="s">
        <v>1620</v>
      </c>
      <c r="CT835" s="213" t="s">
        <v>1621</v>
      </c>
      <c r="CU835" s="213" t="s">
        <v>2206</v>
      </c>
      <c r="CV835" s="214" t="s">
        <v>2207</v>
      </c>
      <c r="CX835" s="212">
        <v>1</v>
      </c>
    </row>
    <row r="836" spans="91:102" ht="21" customHeight="1">
      <c r="CM836" s="210"/>
      <c r="CN836" s="213" t="s">
        <v>3011</v>
      </c>
      <c r="CO836" s="213" t="s">
        <v>896</v>
      </c>
      <c r="CP836" s="213" t="s">
        <v>879</v>
      </c>
      <c r="CQ836" s="213" t="s">
        <v>3012</v>
      </c>
      <c r="CR836" s="213" t="s">
        <v>3012</v>
      </c>
      <c r="CS836" s="213" t="s">
        <v>1620</v>
      </c>
      <c r="CT836" s="213" t="s">
        <v>1621</v>
      </c>
      <c r="CU836" s="213" t="s">
        <v>2206</v>
      </c>
      <c r="CV836" s="214" t="s">
        <v>2207</v>
      </c>
      <c r="CX836" s="212">
        <v>1</v>
      </c>
    </row>
    <row r="837" spans="91:102" ht="21" customHeight="1">
      <c r="CM837" s="210"/>
      <c r="CN837" s="213" t="s">
        <v>3013</v>
      </c>
      <c r="CO837" s="213" t="s">
        <v>896</v>
      </c>
      <c r="CP837" s="213" t="s">
        <v>879</v>
      </c>
      <c r="CQ837" s="213" t="s">
        <v>3014</v>
      </c>
      <c r="CR837" s="213" t="s">
        <v>3014</v>
      </c>
      <c r="CS837" s="213" t="s">
        <v>1620</v>
      </c>
      <c r="CT837" s="213" t="s">
        <v>1621</v>
      </c>
      <c r="CU837" s="213" t="s">
        <v>2206</v>
      </c>
      <c r="CV837" s="214" t="s">
        <v>2207</v>
      </c>
      <c r="CX837" s="212">
        <v>1</v>
      </c>
    </row>
    <row r="838" spans="91:102" ht="21" customHeight="1">
      <c r="CM838" s="210"/>
      <c r="CN838" s="213" t="s">
        <v>3015</v>
      </c>
      <c r="CO838" s="213" t="s">
        <v>896</v>
      </c>
      <c r="CP838" s="213" t="s">
        <v>879</v>
      </c>
      <c r="CQ838" s="213" t="s">
        <v>3016</v>
      </c>
      <c r="CR838" s="213" t="s">
        <v>3016</v>
      </c>
      <c r="CS838" s="213" t="s">
        <v>1620</v>
      </c>
      <c r="CT838" s="213" t="s">
        <v>1621</v>
      </c>
      <c r="CU838" s="213" t="s">
        <v>2206</v>
      </c>
      <c r="CV838" s="214" t="s">
        <v>2207</v>
      </c>
      <c r="CX838" s="212">
        <v>1</v>
      </c>
    </row>
    <row r="839" spans="91:102" ht="21" customHeight="1">
      <c r="CM839" s="210"/>
      <c r="CN839" s="213" t="s">
        <v>3017</v>
      </c>
      <c r="CO839" s="213" t="s">
        <v>896</v>
      </c>
      <c r="CP839" s="213" t="s">
        <v>879</v>
      </c>
      <c r="CQ839" s="213" t="s">
        <v>3018</v>
      </c>
      <c r="CR839" s="213" t="s">
        <v>3018</v>
      </c>
      <c r="CS839" s="213" t="s">
        <v>1620</v>
      </c>
      <c r="CT839" s="213" t="s">
        <v>1621</v>
      </c>
      <c r="CU839" s="213" t="s">
        <v>2206</v>
      </c>
      <c r="CV839" s="214" t="s">
        <v>2207</v>
      </c>
      <c r="CX839" s="212">
        <v>1</v>
      </c>
    </row>
    <row r="840" spans="91:102" ht="21" customHeight="1">
      <c r="CM840" s="210"/>
      <c r="CN840" s="213" t="s">
        <v>3019</v>
      </c>
      <c r="CO840" s="213" t="s">
        <v>896</v>
      </c>
      <c r="CP840" s="213" t="s">
        <v>879</v>
      </c>
      <c r="CQ840" s="213" t="s">
        <v>3020</v>
      </c>
      <c r="CR840" s="213" t="s">
        <v>3020</v>
      </c>
      <c r="CS840" s="213" t="s">
        <v>1620</v>
      </c>
      <c r="CT840" s="213" t="s">
        <v>1621</v>
      </c>
      <c r="CU840" s="213" t="s">
        <v>2206</v>
      </c>
      <c r="CV840" s="214" t="s">
        <v>2207</v>
      </c>
      <c r="CX840" s="212">
        <v>1</v>
      </c>
    </row>
    <row r="841" spans="91:102" ht="21" customHeight="1">
      <c r="CM841" s="210"/>
      <c r="CN841" s="213" t="s">
        <v>3021</v>
      </c>
      <c r="CO841" s="213" t="s">
        <v>896</v>
      </c>
      <c r="CP841" s="213" t="s">
        <v>879</v>
      </c>
      <c r="CQ841" s="213" t="s">
        <v>3022</v>
      </c>
      <c r="CR841" s="213" t="s">
        <v>3022</v>
      </c>
      <c r="CS841" s="213" t="s">
        <v>1620</v>
      </c>
      <c r="CT841" s="213" t="s">
        <v>1621</v>
      </c>
      <c r="CU841" s="213" t="s">
        <v>2206</v>
      </c>
      <c r="CV841" s="214" t="s">
        <v>2207</v>
      </c>
      <c r="CX841" s="212">
        <v>1</v>
      </c>
    </row>
    <row r="842" spans="91:102" ht="21" customHeight="1">
      <c r="CM842" s="210"/>
      <c r="CN842" s="213" t="s">
        <v>3023</v>
      </c>
      <c r="CO842" s="213" t="s">
        <v>896</v>
      </c>
      <c r="CP842" s="213" t="s">
        <v>879</v>
      </c>
      <c r="CQ842" s="213" t="s">
        <v>3024</v>
      </c>
      <c r="CR842" s="213" t="s">
        <v>3024</v>
      </c>
      <c r="CS842" s="213" t="s">
        <v>1620</v>
      </c>
      <c r="CT842" s="213" t="s">
        <v>1621</v>
      </c>
      <c r="CU842" s="213" t="s">
        <v>2206</v>
      </c>
      <c r="CV842" s="214" t="s">
        <v>2207</v>
      </c>
      <c r="CX842" s="212">
        <v>1</v>
      </c>
    </row>
    <row r="843" spans="91:102" ht="21" customHeight="1">
      <c r="CM843" s="210"/>
      <c r="CN843" s="213" t="s">
        <v>3025</v>
      </c>
      <c r="CO843" s="213" t="s">
        <v>896</v>
      </c>
      <c r="CP843" s="213" t="s">
        <v>879</v>
      </c>
      <c r="CQ843" s="213" t="s">
        <v>3026</v>
      </c>
      <c r="CR843" s="213" t="s">
        <v>3026</v>
      </c>
      <c r="CS843" s="213" t="s">
        <v>1620</v>
      </c>
      <c r="CT843" s="213" t="s">
        <v>1621</v>
      </c>
      <c r="CU843" s="213" t="s">
        <v>2206</v>
      </c>
      <c r="CV843" s="214" t="s">
        <v>2207</v>
      </c>
      <c r="CX843" s="212">
        <v>1</v>
      </c>
    </row>
    <row r="844" spans="91:102" ht="21" customHeight="1">
      <c r="CM844" s="210"/>
      <c r="CN844" s="213" t="s">
        <v>3027</v>
      </c>
      <c r="CO844" s="213" t="s">
        <v>896</v>
      </c>
      <c r="CP844" s="213" t="s">
        <v>879</v>
      </c>
      <c r="CQ844" s="213" t="s">
        <v>3028</v>
      </c>
      <c r="CR844" s="213" t="s">
        <v>3028</v>
      </c>
      <c r="CS844" s="213" t="s">
        <v>1620</v>
      </c>
      <c r="CT844" s="213" t="s">
        <v>1621</v>
      </c>
      <c r="CU844" s="213" t="s">
        <v>2206</v>
      </c>
      <c r="CV844" s="214" t="s">
        <v>2207</v>
      </c>
      <c r="CX844" s="212">
        <v>1</v>
      </c>
    </row>
    <row r="845" spans="91:102" ht="21" customHeight="1">
      <c r="CM845" s="210"/>
      <c r="CN845" s="213" t="s">
        <v>3029</v>
      </c>
      <c r="CO845" s="213" t="s">
        <v>896</v>
      </c>
      <c r="CP845" s="213" t="s">
        <v>879</v>
      </c>
      <c r="CQ845" s="213" t="s">
        <v>3030</v>
      </c>
      <c r="CR845" s="213" t="s">
        <v>3030</v>
      </c>
      <c r="CS845" s="213" t="s">
        <v>1620</v>
      </c>
      <c r="CT845" s="213" t="s">
        <v>1621</v>
      </c>
      <c r="CU845" s="213" t="s">
        <v>2206</v>
      </c>
      <c r="CV845" s="214" t="s">
        <v>2207</v>
      </c>
      <c r="CX845" s="212">
        <v>1</v>
      </c>
    </row>
    <row r="846" spans="91:102" ht="21" customHeight="1">
      <c r="CM846" s="210"/>
      <c r="CN846" s="213" t="s">
        <v>3031</v>
      </c>
      <c r="CO846" s="213" t="s">
        <v>896</v>
      </c>
      <c r="CP846" s="213" t="s">
        <v>879</v>
      </c>
      <c r="CQ846" s="213" t="s">
        <v>3032</v>
      </c>
      <c r="CR846" s="213" t="s">
        <v>3032</v>
      </c>
      <c r="CS846" s="213" t="s">
        <v>1620</v>
      </c>
      <c r="CT846" s="213" t="s">
        <v>1621</v>
      </c>
      <c r="CU846" s="213" t="s">
        <v>2206</v>
      </c>
      <c r="CV846" s="214" t="s">
        <v>2207</v>
      </c>
      <c r="CX846" s="212">
        <v>1</v>
      </c>
    </row>
    <row r="847" spans="91:102" ht="21" customHeight="1">
      <c r="CM847" s="210"/>
      <c r="CN847" s="213" t="s">
        <v>3033</v>
      </c>
      <c r="CO847" s="213" t="s">
        <v>896</v>
      </c>
      <c r="CP847" s="213" t="s">
        <v>879</v>
      </c>
      <c r="CQ847" s="213" t="s">
        <v>3034</v>
      </c>
      <c r="CR847" s="213" t="s">
        <v>3034</v>
      </c>
      <c r="CS847" s="213" t="s">
        <v>1620</v>
      </c>
      <c r="CT847" s="213" t="s">
        <v>1621</v>
      </c>
      <c r="CU847" s="213" t="s">
        <v>2206</v>
      </c>
      <c r="CV847" s="214" t="s">
        <v>2207</v>
      </c>
      <c r="CX847" s="212">
        <v>1</v>
      </c>
    </row>
    <row r="848" spans="91:102" ht="21" customHeight="1">
      <c r="CM848" s="210"/>
      <c r="CN848" s="213" t="s">
        <v>3035</v>
      </c>
      <c r="CO848" s="213" t="s">
        <v>896</v>
      </c>
      <c r="CP848" s="213" t="s">
        <v>879</v>
      </c>
      <c r="CQ848" s="213" t="s">
        <v>3036</v>
      </c>
      <c r="CR848" s="213" t="s">
        <v>3036</v>
      </c>
      <c r="CS848" s="213" t="s">
        <v>1620</v>
      </c>
      <c r="CT848" s="213" t="s">
        <v>1621</v>
      </c>
      <c r="CU848" s="213" t="s">
        <v>2206</v>
      </c>
      <c r="CV848" s="214" t="s">
        <v>2207</v>
      </c>
      <c r="CX848" s="212">
        <v>1</v>
      </c>
    </row>
    <row r="849" spans="91:102" ht="21" customHeight="1">
      <c r="CM849" s="210"/>
      <c r="CN849" s="213" t="s">
        <v>3037</v>
      </c>
      <c r="CO849" s="213" t="s">
        <v>896</v>
      </c>
      <c r="CP849" s="213" t="s">
        <v>879</v>
      </c>
      <c r="CQ849" s="213" t="s">
        <v>3038</v>
      </c>
      <c r="CR849" s="213" t="s">
        <v>3038</v>
      </c>
      <c r="CS849" s="213" t="s">
        <v>1620</v>
      </c>
      <c r="CT849" s="213" t="s">
        <v>1621</v>
      </c>
      <c r="CU849" s="213" t="s">
        <v>2206</v>
      </c>
      <c r="CV849" s="214" t="s">
        <v>2207</v>
      </c>
      <c r="CX849" s="212">
        <v>1</v>
      </c>
    </row>
    <row r="850" spans="91:102" ht="21" customHeight="1">
      <c r="CM850" s="210"/>
      <c r="CN850" s="213" t="s">
        <v>3039</v>
      </c>
      <c r="CO850" s="213" t="s">
        <v>896</v>
      </c>
      <c r="CP850" s="213" t="s">
        <v>879</v>
      </c>
      <c r="CQ850" s="213" t="s">
        <v>3040</v>
      </c>
      <c r="CR850" s="213" t="s">
        <v>3040</v>
      </c>
      <c r="CS850" s="213" t="s">
        <v>1620</v>
      </c>
      <c r="CT850" s="213" t="s">
        <v>1621</v>
      </c>
      <c r="CU850" s="213" t="s">
        <v>2206</v>
      </c>
      <c r="CV850" s="214" t="s">
        <v>2207</v>
      </c>
      <c r="CX850" s="212">
        <v>1</v>
      </c>
    </row>
    <row r="851" spans="91:102" ht="21" customHeight="1">
      <c r="CM851" s="210"/>
      <c r="CN851" s="213" t="s">
        <v>3041</v>
      </c>
      <c r="CO851" s="213" t="s">
        <v>896</v>
      </c>
      <c r="CP851" s="213" t="s">
        <v>879</v>
      </c>
      <c r="CQ851" s="213" t="s">
        <v>3042</v>
      </c>
      <c r="CR851" s="213" t="s">
        <v>3042</v>
      </c>
      <c r="CS851" s="213" t="s">
        <v>1620</v>
      </c>
      <c r="CT851" s="213" t="s">
        <v>1621</v>
      </c>
      <c r="CU851" s="213" t="s">
        <v>2206</v>
      </c>
      <c r="CV851" s="214" t="s">
        <v>2207</v>
      </c>
      <c r="CX851" s="212">
        <v>1</v>
      </c>
    </row>
    <row r="852" spans="91:102" ht="21" customHeight="1">
      <c r="CM852" s="210"/>
      <c r="CN852" s="213" t="s">
        <v>3043</v>
      </c>
      <c r="CO852" s="213" t="s">
        <v>896</v>
      </c>
      <c r="CP852" s="213" t="s">
        <v>879</v>
      </c>
      <c r="CQ852" s="213" t="s">
        <v>3044</v>
      </c>
      <c r="CR852" s="213" t="s">
        <v>3044</v>
      </c>
      <c r="CS852" s="213" t="s">
        <v>1620</v>
      </c>
      <c r="CT852" s="213" t="s">
        <v>1621</v>
      </c>
      <c r="CU852" s="213" t="s">
        <v>2206</v>
      </c>
      <c r="CV852" s="214" t="s">
        <v>2207</v>
      </c>
      <c r="CX852" s="212">
        <v>1</v>
      </c>
    </row>
    <row r="853" spans="91:102" ht="21" customHeight="1">
      <c r="CM853" s="210"/>
      <c r="CN853" s="213" t="s">
        <v>3045</v>
      </c>
      <c r="CO853" s="213" t="s">
        <v>896</v>
      </c>
      <c r="CP853" s="213" t="s">
        <v>879</v>
      </c>
      <c r="CQ853" s="213" t="s">
        <v>3046</v>
      </c>
      <c r="CR853" s="213" t="s">
        <v>3046</v>
      </c>
      <c r="CS853" s="213" t="s">
        <v>1620</v>
      </c>
      <c r="CT853" s="213" t="s">
        <v>1621</v>
      </c>
      <c r="CU853" s="213" t="s">
        <v>2206</v>
      </c>
      <c r="CV853" s="214" t="s">
        <v>2207</v>
      </c>
      <c r="CX853" s="212">
        <v>1</v>
      </c>
    </row>
    <row r="854" spans="91:102" ht="21" customHeight="1">
      <c r="CM854" s="210"/>
      <c r="CN854" s="213" t="s">
        <v>3047</v>
      </c>
      <c r="CO854" s="213" t="s">
        <v>896</v>
      </c>
      <c r="CP854" s="213" t="s">
        <v>879</v>
      </c>
      <c r="CQ854" s="213" t="s">
        <v>3048</v>
      </c>
      <c r="CR854" s="213" t="s">
        <v>3048</v>
      </c>
      <c r="CS854" s="213" t="s">
        <v>1620</v>
      </c>
      <c r="CT854" s="213" t="s">
        <v>1621</v>
      </c>
      <c r="CU854" s="213" t="s">
        <v>2206</v>
      </c>
      <c r="CV854" s="214" t="s">
        <v>2207</v>
      </c>
      <c r="CX854" s="212">
        <v>1</v>
      </c>
    </row>
    <row r="855" spans="91:102" ht="21" customHeight="1">
      <c r="CM855" s="210"/>
      <c r="CN855" s="213" t="s">
        <v>3049</v>
      </c>
      <c r="CO855" s="213" t="s">
        <v>896</v>
      </c>
      <c r="CP855" s="213" t="s">
        <v>879</v>
      </c>
      <c r="CQ855" s="213" t="s">
        <v>3050</v>
      </c>
      <c r="CR855" s="213" t="s">
        <v>3050</v>
      </c>
      <c r="CS855" s="213" t="s">
        <v>1620</v>
      </c>
      <c r="CT855" s="213" t="s">
        <v>1621</v>
      </c>
      <c r="CU855" s="213" t="s">
        <v>2206</v>
      </c>
      <c r="CV855" s="214" t="s">
        <v>2207</v>
      </c>
      <c r="CX855" s="212">
        <v>1</v>
      </c>
    </row>
    <row r="856" spans="91:102" ht="21" customHeight="1">
      <c r="CM856" s="210"/>
      <c r="CN856" s="213" t="s">
        <v>3051</v>
      </c>
      <c r="CO856" s="213" t="s">
        <v>896</v>
      </c>
      <c r="CP856" s="213" t="s">
        <v>879</v>
      </c>
      <c r="CQ856" s="213" t="s">
        <v>3052</v>
      </c>
      <c r="CR856" s="213" t="s">
        <v>3052</v>
      </c>
      <c r="CS856" s="213" t="s">
        <v>1620</v>
      </c>
      <c r="CT856" s="213" t="s">
        <v>1621</v>
      </c>
      <c r="CU856" s="213" t="s">
        <v>2206</v>
      </c>
      <c r="CV856" s="214" t="s">
        <v>2207</v>
      </c>
      <c r="CX856" s="212">
        <v>1</v>
      </c>
    </row>
    <row r="857" spans="91:102" ht="21" customHeight="1">
      <c r="CM857" s="210"/>
      <c r="CN857" s="213" t="s">
        <v>3053</v>
      </c>
      <c r="CO857" s="213" t="s">
        <v>896</v>
      </c>
      <c r="CP857" s="213" t="s">
        <v>879</v>
      </c>
      <c r="CQ857" s="213" t="s">
        <v>3054</v>
      </c>
      <c r="CR857" s="213" t="s">
        <v>3054</v>
      </c>
      <c r="CS857" s="213" t="s">
        <v>1620</v>
      </c>
      <c r="CT857" s="213" t="s">
        <v>1621</v>
      </c>
      <c r="CU857" s="213" t="s">
        <v>2206</v>
      </c>
      <c r="CV857" s="214" t="s">
        <v>2207</v>
      </c>
      <c r="CX857" s="212">
        <v>1</v>
      </c>
    </row>
    <row r="858" spans="91:102" ht="21" customHeight="1">
      <c r="CM858" s="210"/>
      <c r="CN858" s="213" t="s">
        <v>3055</v>
      </c>
      <c r="CO858" s="213" t="s">
        <v>896</v>
      </c>
      <c r="CP858" s="213" t="s">
        <v>879</v>
      </c>
      <c r="CQ858" s="213" t="s">
        <v>3056</v>
      </c>
      <c r="CR858" s="213" t="s">
        <v>3056</v>
      </c>
      <c r="CS858" s="213" t="s">
        <v>1620</v>
      </c>
      <c r="CT858" s="213" t="s">
        <v>1621</v>
      </c>
      <c r="CU858" s="213" t="s">
        <v>2206</v>
      </c>
      <c r="CV858" s="214" t="s">
        <v>2207</v>
      </c>
      <c r="CX858" s="212">
        <v>1</v>
      </c>
    </row>
    <row r="859" spans="91:102" ht="21" customHeight="1">
      <c r="CM859" s="210"/>
      <c r="CN859" s="213" t="s">
        <v>3057</v>
      </c>
      <c r="CO859" s="213" t="s">
        <v>896</v>
      </c>
      <c r="CP859" s="213" t="s">
        <v>879</v>
      </c>
      <c r="CQ859" s="213" t="s">
        <v>3058</v>
      </c>
      <c r="CR859" s="213" t="s">
        <v>3058</v>
      </c>
      <c r="CS859" s="213" t="s">
        <v>1620</v>
      </c>
      <c r="CT859" s="213" t="s">
        <v>1621</v>
      </c>
      <c r="CU859" s="213" t="s">
        <v>2206</v>
      </c>
      <c r="CV859" s="214" t="s">
        <v>2207</v>
      </c>
      <c r="CX859" s="212">
        <v>1</v>
      </c>
    </row>
    <row r="860" spans="91:102" ht="21" customHeight="1">
      <c r="CM860" s="210"/>
      <c r="CN860" s="213" t="s">
        <v>3059</v>
      </c>
      <c r="CO860" s="213" t="s">
        <v>896</v>
      </c>
      <c r="CP860" s="213" t="s">
        <v>879</v>
      </c>
      <c r="CQ860" s="213" t="s">
        <v>3060</v>
      </c>
      <c r="CR860" s="213" t="s">
        <v>3060</v>
      </c>
      <c r="CS860" s="213" t="s">
        <v>1620</v>
      </c>
      <c r="CT860" s="213" t="s">
        <v>1621</v>
      </c>
      <c r="CU860" s="213" t="s">
        <v>2206</v>
      </c>
      <c r="CV860" s="214" t="s">
        <v>2207</v>
      </c>
      <c r="CX860" s="212">
        <v>1</v>
      </c>
    </row>
    <row r="861" spans="91:102" ht="21" customHeight="1">
      <c r="CM861" s="210"/>
      <c r="CN861" s="213" t="s">
        <v>3061</v>
      </c>
      <c r="CO861" s="213" t="s">
        <v>896</v>
      </c>
      <c r="CP861" s="213" t="s">
        <v>879</v>
      </c>
      <c r="CQ861" s="213" t="s">
        <v>3062</v>
      </c>
      <c r="CR861" s="213" t="s">
        <v>3062</v>
      </c>
      <c r="CS861" s="213" t="s">
        <v>1620</v>
      </c>
      <c r="CT861" s="213" t="s">
        <v>1621</v>
      </c>
      <c r="CU861" s="213" t="s">
        <v>2206</v>
      </c>
      <c r="CV861" s="214" t="s">
        <v>2207</v>
      </c>
      <c r="CX861" s="212">
        <v>1</v>
      </c>
    </row>
    <row r="862" spans="91:102" ht="21" customHeight="1">
      <c r="CM862" s="210"/>
      <c r="CN862" s="213" t="s">
        <v>3063</v>
      </c>
      <c r="CO862" s="213" t="s">
        <v>896</v>
      </c>
      <c r="CP862" s="213" t="s">
        <v>879</v>
      </c>
      <c r="CQ862" s="213" t="s">
        <v>3064</v>
      </c>
      <c r="CR862" s="213" t="s">
        <v>3064</v>
      </c>
      <c r="CS862" s="213" t="s">
        <v>1620</v>
      </c>
      <c r="CT862" s="213" t="s">
        <v>1621</v>
      </c>
      <c r="CU862" s="213" t="s">
        <v>2206</v>
      </c>
      <c r="CV862" s="214" t="s">
        <v>2207</v>
      </c>
      <c r="CX862" s="212">
        <v>1</v>
      </c>
    </row>
    <row r="863" spans="91:102" ht="21" customHeight="1">
      <c r="CM863" s="210"/>
      <c r="CN863" s="213" t="s">
        <v>3065</v>
      </c>
      <c r="CO863" s="213" t="s">
        <v>896</v>
      </c>
      <c r="CP863" s="213" t="s">
        <v>879</v>
      </c>
      <c r="CQ863" s="213" t="s">
        <v>3066</v>
      </c>
      <c r="CR863" s="213" t="s">
        <v>3066</v>
      </c>
      <c r="CS863" s="213" t="s">
        <v>1620</v>
      </c>
      <c r="CT863" s="213" t="s">
        <v>1621</v>
      </c>
      <c r="CU863" s="213" t="s">
        <v>2206</v>
      </c>
      <c r="CV863" s="214" t="s">
        <v>2207</v>
      </c>
      <c r="CX863" s="212">
        <v>1</v>
      </c>
    </row>
    <row r="864" spans="91:102" ht="21" customHeight="1">
      <c r="CM864" s="210"/>
      <c r="CN864" s="213" t="s">
        <v>3067</v>
      </c>
      <c r="CO864" s="213" t="s">
        <v>896</v>
      </c>
      <c r="CP864" s="213" t="s">
        <v>879</v>
      </c>
      <c r="CQ864" s="213" t="s">
        <v>3068</v>
      </c>
      <c r="CR864" s="213" t="s">
        <v>3068</v>
      </c>
      <c r="CS864" s="213" t="s">
        <v>1620</v>
      </c>
      <c r="CT864" s="213" t="s">
        <v>1621</v>
      </c>
      <c r="CU864" s="213" t="s">
        <v>2206</v>
      </c>
      <c r="CV864" s="214" t="s">
        <v>2207</v>
      </c>
      <c r="CX864" s="212">
        <v>1</v>
      </c>
    </row>
    <row r="865" spans="91:102" ht="21" customHeight="1">
      <c r="CM865" s="210"/>
      <c r="CN865" s="213" t="s">
        <v>3069</v>
      </c>
      <c r="CO865" s="213" t="s">
        <v>896</v>
      </c>
      <c r="CP865" s="213" t="s">
        <v>879</v>
      </c>
      <c r="CQ865" s="213" t="s">
        <v>3070</v>
      </c>
      <c r="CR865" s="213" t="s">
        <v>3070</v>
      </c>
      <c r="CS865" s="213" t="s">
        <v>1620</v>
      </c>
      <c r="CT865" s="213" t="s">
        <v>1621</v>
      </c>
      <c r="CU865" s="213" t="s">
        <v>2206</v>
      </c>
      <c r="CV865" s="214" t="s">
        <v>2207</v>
      </c>
      <c r="CX865" s="212">
        <v>1</v>
      </c>
    </row>
    <row r="866" spans="91:102" ht="21" customHeight="1">
      <c r="CM866" s="210"/>
      <c r="CN866" s="213" t="s">
        <v>3071</v>
      </c>
      <c r="CO866" s="213" t="s">
        <v>896</v>
      </c>
      <c r="CP866" s="213" t="s">
        <v>879</v>
      </c>
      <c r="CQ866" s="213" t="s">
        <v>3072</v>
      </c>
      <c r="CR866" s="213" t="s">
        <v>3072</v>
      </c>
      <c r="CS866" s="213" t="s">
        <v>1620</v>
      </c>
      <c r="CT866" s="213" t="s">
        <v>1621</v>
      </c>
      <c r="CU866" s="213" t="s">
        <v>2206</v>
      </c>
      <c r="CV866" s="214" t="s">
        <v>2207</v>
      </c>
      <c r="CX866" s="212">
        <v>1</v>
      </c>
    </row>
    <row r="867" spans="91:102" ht="21" customHeight="1">
      <c r="CM867" s="210"/>
      <c r="CN867" s="213" t="s">
        <v>3073</v>
      </c>
      <c r="CO867" s="213" t="s">
        <v>896</v>
      </c>
      <c r="CP867" s="213" t="s">
        <v>879</v>
      </c>
      <c r="CQ867" s="213" t="s">
        <v>3074</v>
      </c>
      <c r="CR867" s="213" t="s">
        <v>3074</v>
      </c>
      <c r="CS867" s="213" t="s">
        <v>1620</v>
      </c>
      <c r="CT867" s="213" t="s">
        <v>1621</v>
      </c>
      <c r="CU867" s="213" t="s">
        <v>2206</v>
      </c>
      <c r="CV867" s="214" t="s">
        <v>2207</v>
      </c>
      <c r="CX867" s="212">
        <v>1</v>
      </c>
    </row>
    <row r="868" spans="91:102" ht="21" customHeight="1">
      <c r="CM868" s="210"/>
      <c r="CN868" s="213" t="s">
        <v>3075</v>
      </c>
      <c r="CO868" s="213" t="s">
        <v>896</v>
      </c>
      <c r="CP868" s="213" t="s">
        <v>879</v>
      </c>
      <c r="CQ868" s="213" t="s">
        <v>3076</v>
      </c>
      <c r="CR868" s="213" t="s">
        <v>3076</v>
      </c>
      <c r="CS868" s="213" t="s">
        <v>1620</v>
      </c>
      <c r="CT868" s="213" t="s">
        <v>1621</v>
      </c>
      <c r="CU868" s="213" t="s">
        <v>2206</v>
      </c>
      <c r="CV868" s="214" t="s">
        <v>2207</v>
      </c>
      <c r="CX868" s="212">
        <v>1</v>
      </c>
    </row>
    <row r="869" spans="91:102" ht="21" customHeight="1">
      <c r="CM869" s="210"/>
      <c r="CN869" s="213" t="s">
        <v>3077</v>
      </c>
      <c r="CO869" s="213" t="s">
        <v>896</v>
      </c>
      <c r="CP869" s="213" t="s">
        <v>879</v>
      </c>
      <c r="CQ869" s="213" t="s">
        <v>3078</v>
      </c>
      <c r="CR869" s="213" t="s">
        <v>3078</v>
      </c>
      <c r="CS869" s="213" t="s">
        <v>1620</v>
      </c>
      <c r="CT869" s="213" t="s">
        <v>1621</v>
      </c>
      <c r="CU869" s="213" t="s">
        <v>2206</v>
      </c>
      <c r="CV869" s="214" t="s">
        <v>2207</v>
      </c>
      <c r="CX869" s="212">
        <v>1</v>
      </c>
    </row>
    <row r="870" spans="91:102" ht="21" customHeight="1">
      <c r="CM870" s="210"/>
      <c r="CN870" s="213" t="s">
        <v>3079</v>
      </c>
      <c r="CO870" s="213" t="s">
        <v>896</v>
      </c>
      <c r="CP870" s="213" t="s">
        <v>879</v>
      </c>
      <c r="CQ870" s="213" t="s">
        <v>3080</v>
      </c>
      <c r="CR870" s="213" t="s">
        <v>3080</v>
      </c>
      <c r="CS870" s="213" t="s">
        <v>1620</v>
      </c>
      <c r="CT870" s="213" t="s">
        <v>1621</v>
      </c>
      <c r="CU870" s="213" t="s">
        <v>2206</v>
      </c>
      <c r="CV870" s="214" t="s">
        <v>2207</v>
      </c>
      <c r="CX870" s="212">
        <v>1</v>
      </c>
    </row>
    <row r="871" spans="91:102" ht="21" customHeight="1">
      <c r="CM871" s="210"/>
      <c r="CN871" s="213" t="s">
        <v>3081</v>
      </c>
      <c r="CO871" s="213" t="s">
        <v>896</v>
      </c>
      <c r="CP871" s="213" t="s">
        <v>879</v>
      </c>
      <c r="CQ871" s="213" t="s">
        <v>3082</v>
      </c>
      <c r="CR871" s="213" t="s">
        <v>3082</v>
      </c>
      <c r="CS871" s="213" t="s">
        <v>1620</v>
      </c>
      <c r="CT871" s="213" t="s">
        <v>1621</v>
      </c>
      <c r="CU871" s="213" t="s">
        <v>2206</v>
      </c>
      <c r="CV871" s="214" t="s">
        <v>2207</v>
      </c>
      <c r="CX871" s="212">
        <v>1</v>
      </c>
    </row>
    <row r="872" spans="91:102" ht="21" customHeight="1">
      <c r="CM872" s="210"/>
      <c r="CN872" s="213" t="s">
        <v>3083</v>
      </c>
      <c r="CO872" s="213" t="s">
        <v>896</v>
      </c>
      <c r="CP872" s="213" t="s">
        <v>879</v>
      </c>
      <c r="CQ872" s="213" t="s">
        <v>3084</v>
      </c>
      <c r="CR872" s="213" t="s">
        <v>3084</v>
      </c>
      <c r="CS872" s="213" t="s">
        <v>1620</v>
      </c>
      <c r="CT872" s="213" t="s">
        <v>1621</v>
      </c>
      <c r="CU872" s="213" t="s">
        <v>2206</v>
      </c>
      <c r="CV872" s="214" t="s">
        <v>2207</v>
      </c>
      <c r="CX872" s="212">
        <v>1</v>
      </c>
    </row>
    <row r="873" spans="91:102" ht="21" customHeight="1">
      <c r="CM873" s="210"/>
      <c r="CN873" s="213" t="s">
        <v>3085</v>
      </c>
      <c r="CO873" s="213" t="s">
        <v>896</v>
      </c>
      <c r="CP873" s="213" t="s">
        <v>879</v>
      </c>
      <c r="CQ873" s="213" t="s">
        <v>3086</v>
      </c>
      <c r="CR873" s="213" t="s">
        <v>3086</v>
      </c>
      <c r="CS873" s="213" t="s">
        <v>1620</v>
      </c>
      <c r="CT873" s="213" t="s">
        <v>1621</v>
      </c>
      <c r="CU873" s="213" t="s">
        <v>2206</v>
      </c>
      <c r="CV873" s="214" t="s">
        <v>2207</v>
      </c>
      <c r="CX873" s="212">
        <v>1</v>
      </c>
    </row>
    <row r="874" spans="91:102" ht="21" customHeight="1">
      <c r="CM874" s="210"/>
      <c r="CN874" s="213" t="s">
        <v>3087</v>
      </c>
      <c r="CO874" s="213" t="s">
        <v>896</v>
      </c>
      <c r="CP874" s="213" t="s">
        <v>879</v>
      </c>
      <c r="CQ874" s="213" t="s">
        <v>3088</v>
      </c>
      <c r="CR874" s="213" t="s">
        <v>3088</v>
      </c>
      <c r="CS874" s="213" t="s">
        <v>1620</v>
      </c>
      <c r="CT874" s="213" t="s">
        <v>1621</v>
      </c>
      <c r="CU874" s="213" t="s">
        <v>2206</v>
      </c>
      <c r="CV874" s="214" t="s">
        <v>2207</v>
      </c>
      <c r="CX874" s="212">
        <v>1</v>
      </c>
    </row>
    <row r="875" spans="91:102" ht="21" customHeight="1">
      <c r="CM875" s="210"/>
      <c r="CN875" s="213" t="s">
        <v>3089</v>
      </c>
      <c r="CO875" s="213" t="s">
        <v>896</v>
      </c>
      <c r="CP875" s="213" t="s">
        <v>879</v>
      </c>
      <c r="CQ875" s="213" t="s">
        <v>3090</v>
      </c>
      <c r="CR875" s="213" t="s">
        <v>3090</v>
      </c>
      <c r="CS875" s="213" t="s">
        <v>1620</v>
      </c>
      <c r="CT875" s="213" t="s">
        <v>1621</v>
      </c>
      <c r="CU875" s="213" t="s">
        <v>2206</v>
      </c>
      <c r="CV875" s="214" t="s">
        <v>2207</v>
      </c>
      <c r="CX875" s="212">
        <v>1</v>
      </c>
    </row>
    <row r="876" spans="91:102" ht="21" customHeight="1">
      <c r="CM876" s="210"/>
      <c r="CN876" s="213" t="s">
        <v>3091</v>
      </c>
      <c r="CO876" s="213" t="s">
        <v>896</v>
      </c>
      <c r="CP876" s="213" t="s">
        <v>879</v>
      </c>
      <c r="CQ876" s="213" t="s">
        <v>3092</v>
      </c>
      <c r="CR876" s="213" t="s">
        <v>3092</v>
      </c>
      <c r="CS876" s="213" t="s">
        <v>1620</v>
      </c>
      <c r="CT876" s="213" t="s">
        <v>1621</v>
      </c>
      <c r="CU876" s="213" t="s">
        <v>2206</v>
      </c>
      <c r="CV876" s="214" t="s">
        <v>2207</v>
      </c>
      <c r="CX876" s="212">
        <v>1</v>
      </c>
    </row>
    <row r="877" spans="91:102" ht="21" customHeight="1">
      <c r="CM877" s="210"/>
      <c r="CN877" s="213" t="s">
        <v>3093</v>
      </c>
      <c r="CO877" s="213" t="s">
        <v>896</v>
      </c>
      <c r="CP877" s="213" t="s">
        <v>879</v>
      </c>
      <c r="CQ877" s="213" t="s">
        <v>3094</v>
      </c>
      <c r="CR877" s="213" t="s">
        <v>3094</v>
      </c>
      <c r="CS877" s="213" t="s">
        <v>1620</v>
      </c>
      <c r="CT877" s="213" t="s">
        <v>1621</v>
      </c>
      <c r="CU877" s="213" t="s">
        <v>2206</v>
      </c>
      <c r="CV877" s="214" t="s">
        <v>2207</v>
      </c>
      <c r="CX877" s="212">
        <v>1</v>
      </c>
    </row>
    <row r="878" spans="91:102" ht="21" customHeight="1">
      <c r="CM878" s="210"/>
      <c r="CN878" s="213" t="s">
        <v>3095</v>
      </c>
      <c r="CO878" s="213" t="s">
        <v>896</v>
      </c>
      <c r="CP878" s="213" t="s">
        <v>879</v>
      </c>
      <c r="CQ878" s="213" t="s">
        <v>3096</v>
      </c>
      <c r="CR878" s="213" t="s">
        <v>3096</v>
      </c>
      <c r="CS878" s="213" t="s">
        <v>1620</v>
      </c>
      <c r="CT878" s="213" t="s">
        <v>1621</v>
      </c>
      <c r="CU878" s="213" t="s">
        <v>2206</v>
      </c>
      <c r="CV878" s="214" t="s">
        <v>2207</v>
      </c>
      <c r="CX878" s="212">
        <v>1</v>
      </c>
    </row>
    <row r="879" spans="91:102" ht="21" customHeight="1">
      <c r="CM879" s="210"/>
      <c r="CN879" s="213" t="s">
        <v>3097</v>
      </c>
      <c r="CO879" s="213" t="s">
        <v>896</v>
      </c>
      <c r="CP879" s="213" t="s">
        <v>879</v>
      </c>
      <c r="CQ879" s="213" t="s">
        <v>3098</v>
      </c>
      <c r="CR879" s="213" t="s">
        <v>3098</v>
      </c>
      <c r="CS879" s="213" t="s">
        <v>1620</v>
      </c>
      <c r="CT879" s="213" t="s">
        <v>1621</v>
      </c>
      <c r="CU879" s="213" t="s">
        <v>2206</v>
      </c>
      <c r="CV879" s="214" t="s">
        <v>2207</v>
      </c>
      <c r="CX879" s="212">
        <v>1</v>
      </c>
    </row>
    <row r="880" spans="91:102" ht="21" customHeight="1">
      <c r="CM880" s="210"/>
      <c r="CN880" s="213" t="s">
        <v>3099</v>
      </c>
      <c r="CO880" s="213" t="s">
        <v>896</v>
      </c>
      <c r="CP880" s="213" t="s">
        <v>879</v>
      </c>
      <c r="CQ880" s="213" t="s">
        <v>3100</v>
      </c>
      <c r="CR880" s="213" t="s">
        <v>3100</v>
      </c>
      <c r="CS880" s="213" t="s">
        <v>1620</v>
      </c>
      <c r="CT880" s="213" t="s">
        <v>1621</v>
      </c>
      <c r="CU880" s="213" t="s">
        <v>2206</v>
      </c>
      <c r="CV880" s="214" t="s">
        <v>2207</v>
      </c>
      <c r="CX880" s="212">
        <v>1</v>
      </c>
    </row>
    <row r="881" spans="91:102" ht="21" customHeight="1">
      <c r="CM881" s="210"/>
      <c r="CN881" s="213" t="s">
        <v>3101</v>
      </c>
      <c r="CO881" s="213" t="s">
        <v>896</v>
      </c>
      <c r="CP881" s="213" t="s">
        <v>879</v>
      </c>
      <c r="CQ881" s="213" t="s">
        <v>3102</v>
      </c>
      <c r="CR881" s="213" t="s">
        <v>3102</v>
      </c>
      <c r="CS881" s="213" t="s">
        <v>1620</v>
      </c>
      <c r="CT881" s="213" t="s">
        <v>1621</v>
      </c>
      <c r="CU881" s="213" t="s">
        <v>2206</v>
      </c>
      <c r="CV881" s="214" t="s">
        <v>2207</v>
      </c>
      <c r="CX881" s="212">
        <v>1</v>
      </c>
    </row>
    <row r="882" spans="91:102" ht="21" customHeight="1">
      <c r="CM882" s="210"/>
      <c r="CN882" s="213" t="s">
        <v>3103</v>
      </c>
      <c r="CO882" s="213" t="s">
        <v>896</v>
      </c>
      <c r="CP882" s="213" t="s">
        <v>879</v>
      </c>
      <c r="CQ882" s="213" t="s">
        <v>3104</v>
      </c>
      <c r="CR882" s="213" t="s">
        <v>3104</v>
      </c>
      <c r="CS882" s="213" t="s">
        <v>1620</v>
      </c>
      <c r="CT882" s="213" t="s">
        <v>1621</v>
      </c>
      <c r="CU882" s="213" t="s">
        <v>2206</v>
      </c>
      <c r="CV882" s="214" t="s">
        <v>2207</v>
      </c>
      <c r="CX882" s="212">
        <v>1</v>
      </c>
    </row>
    <row r="883" spans="91:102" ht="21" customHeight="1">
      <c r="CM883" s="210"/>
      <c r="CN883" s="213" t="s">
        <v>3105</v>
      </c>
      <c r="CO883" s="213" t="s">
        <v>896</v>
      </c>
      <c r="CP883" s="213" t="s">
        <v>879</v>
      </c>
      <c r="CQ883" s="213" t="s">
        <v>3106</v>
      </c>
      <c r="CR883" s="213" t="s">
        <v>3106</v>
      </c>
      <c r="CS883" s="213" t="s">
        <v>1620</v>
      </c>
      <c r="CT883" s="213" t="s">
        <v>1621</v>
      </c>
      <c r="CU883" s="213" t="s">
        <v>2206</v>
      </c>
      <c r="CV883" s="214" t="s">
        <v>2207</v>
      </c>
      <c r="CX883" s="212">
        <v>1</v>
      </c>
    </row>
    <row r="884" spans="91:102" ht="21" customHeight="1">
      <c r="CM884" s="210"/>
      <c r="CN884" s="213" t="s">
        <v>3107</v>
      </c>
      <c r="CO884" s="213" t="s">
        <v>896</v>
      </c>
      <c r="CP884" s="213" t="s">
        <v>879</v>
      </c>
      <c r="CQ884" s="213" t="s">
        <v>3108</v>
      </c>
      <c r="CR884" s="213" t="s">
        <v>3108</v>
      </c>
      <c r="CS884" s="213" t="s">
        <v>1620</v>
      </c>
      <c r="CT884" s="213" t="s">
        <v>1621</v>
      </c>
      <c r="CU884" s="213" t="s">
        <v>2206</v>
      </c>
      <c r="CV884" s="214" t="s">
        <v>2207</v>
      </c>
      <c r="CX884" s="212">
        <v>1</v>
      </c>
    </row>
    <row r="885" spans="91:102" ht="21" customHeight="1">
      <c r="CM885" s="210"/>
      <c r="CN885" s="213" t="s">
        <v>3109</v>
      </c>
      <c r="CO885" s="213" t="s">
        <v>896</v>
      </c>
      <c r="CP885" s="213" t="s">
        <v>879</v>
      </c>
      <c r="CQ885" s="213" t="s">
        <v>3110</v>
      </c>
      <c r="CR885" s="213" t="s">
        <v>3110</v>
      </c>
      <c r="CS885" s="213" t="s">
        <v>1620</v>
      </c>
      <c r="CT885" s="213" t="s">
        <v>1621</v>
      </c>
      <c r="CU885" s="213" t="s">
        <v>2206</v>
      </c>
      <c r="CV885" s="214" t="s">
        <v>2207</v>
      </c>
      <c r="CX885" s="212">
        <v>1</v>
      </c>
    </row>
    <row r="886" spans="91:102" ht="21" customHeight="1">
      <c r="CM886" s="210"/>
      <c r="CN886" s="213" t="s">
        <v>3111</v>
      </c>
      <c r="CO886" s="213" t="s">
        <v>896</v>
      </c>
      <c r="CP886" s="213" t="s">
        <v>879</v>
      </c>
      <c r="CQ886" s="213" t="s">
        <v>3112</v>
      </c>
      <c r="CR886" s="213" t="s">
        <v>3112</v>
      </c>
      <c r="CS886" s="213" t="s">
        <v>1620</v>
      </c>
      <c r="CT886" s="213" t="s">
        <v>1621</v>
      </c>
      <c r="CU886" s="213" t="s">
        <v>2206</v>
      </c>
      <c r="CV886" s="214" t="s">
        <v>2207</v>
      </c>
      <c r="CX886" s="212">
        <v>1</v>
      </c>
    </row>
    <row r="887" spans="91:102" ht="21" customHeight="1">
      <c r="CM887" s="210"/>
      <c r="CN887" s="213" t="s">
        <v>3113</v>
      </c>
      <c r="CO887" s="213" t="s">
        <v>896</v>
      </c>
      <c r="CP887" s="213" t="s">
        <v>879</v>
      </c>
      <c r="CQ887" s="213" t="s">
        <v>3114</v>
      </c>
      <c r="CR887" s="213" t="s">
        <v>3114</v>
      </c>
      <c r="CS887" s="213" t="s">
        <v>971</v>
      </c>
      <c r="CT887" s="213" t="s">
        <v>972</v>
      </c>
      <c r="CU887" s="213" t="s">
        <v>883</v>
      </c>
      <c r="CV887" s="214" t="s">
        <v>973</v>
      </c>
      <c r="CX887" s="212">
        <v>1</v>
      </c>
    </row>
    <row r="888" spans="91:102" ht="21" customHeight="1">
      <c r="CM888" s="210"/>
      <c r="CN888" s="213" t="s">
        <v>3115</v>
      </c>
      <c r="CO888" s="213" t="s">
        <v>896</v>
      </c>
      <c r="CP888" s="213" t="s">
        <v>879</v>
      </c>
      <c r="CQ888" s="213" t="s">
        <v>3116</v>
      </c>
      <c r="CR888" s="213" t="s">
        <v>3116</v>
      </c>
      <c r="CS888" s="213" t="s">
        <v>1620</v>
      </c>
      <c r="CT888" s="213" t="s">
        <v>1621</v>
      </c>
      <c r="CU888" s="213" t="s">
        <v>2206</v>
      </c>
      <c r="CV888" s="214" t="s">
        <v>2207</v>
      </c>
      <c r="CX888" s="212">
        <v>1</v>
      </c>
    </row>
    <row r="889" spans="91:102" ht="21" customHeight="1">
      <c r="CM889" s="210"/>
      <c r="CN889" s="213" t="s">
        <v>3117</v>
      </c>
      <c r="CO889" s="213" t="s">
        <v>896</v>
      </c>
      <c r="CP889" s="213" t="s">
        <v>879</v>
      </c>
      <c r="CQ889" s="213" t="s">
        <v>3118</v>
      </c>
      <c r="CR889" s="213" t="s">
        <v>3118</v>
      </c>
      <c r="CS889" s="213" t="s">
        <v>1620</v>
      </c>
      <c r="CT889" s="213" t="s">
        <v>1621</v>
      </c>
      <c r="CU889" s="213" t="s">
        <v>2206</v>
      </c>
      <c r="CV889" s="214" t="s">
        <v>2207</v>
      </c>
      <c r="CX889" s="212">
        <v>1</v>
      </c>
    </row>
    <row r="890" spans="91:102" ht="21" customHeight="1">
      <c r="CM890" s="210"/>
      <c r="CN890" s="213" t="s">
        <v>3119</v>
      </c>
      <c r="CO890" s="213" t="s">
        <v>896</v>
      </c>
      <c r="CP890" s="213" t="s">
        <v>879</v>
      </c>
      <c r="CQ890" s="213" t="s">
        <v>3120</v>
      </c>
      <c r="CR890" s="213" t="s">
        <v>3120</v>
      </c>
      <c r="CS890" s="213" t="s">
        <v>1620</v>
      </c>
      <c r="CT890" s="213" t="s">
        <v>1621</v>
      </c>
      <c r="CU890" s="213" t="s">
        <v>2206</v>
      </c>
      <c r="CV890" s="214" t="s">
        <v>2207</v>
      </c>
      <c r="CX890" s="212">
        <v>1</v>
      </c>
    </row>
    <row r="891" spans="91:102" ht="21" customHeight="1">
      <c r="CM891" s="210"/>
      <c r="CN891" s="213" t="s">
        <v>3121</v>
      </c>
      <c r="CO891" s="213" t="s">
        <v>896</v>
      </c>
      <c r="CP891" s="213" t="s">
        <v>879</v>
      </c>
      <c r="CQ891" s="213" t="s">
        <v>3122</v>
      </c>
      <c r="CR891" s="213" t="s">
        <v>3122</v>
      </c>
      <c r="CS891" s="213" t="s">
        <v>1620</v>
      </c>
      <c r="CT891" s="213" t="s">
        <v>1621</v>
      </c>
      <c r="CU891" s="213" t="s">
        <v>2206</v>
      </c>
      <c r="CV891" s="214" t="s">
        <v>2207</v>
      </c>
      <c r="CX891" s="212">
        <v>1</v>
      </c>
    </row>
    <row r="892" spans="91:102" ht="21" customHeight="1">
      <c r="CM892" s="210"/>
      <c r="CN892" s="213" t="s">
        <v>3123</v>
      </c>
      <c r="CO892" s="213" t="s">
        <v>896</v>
      </c>
      <c r="CP892" s="213" t="s">
        <v>879</v>
      </c>
      <c r="CQ892" s="213" t="s">
        <v>3124</v>
      </c>
      <c r="CR892" s="213" t="s">
        <v>3124</v>
      </c>
      <c r="CS892" s="213" t="s">
        <v>1620</v>
      </c>
      <c r="CT892" s="213" t="s">
        <v>1621</v>
      </c>
      <c r="CU892" s="213" t="s">
        <v>2206</v>
      </c>
      <c r="CV892" s="214" t="s">
        <v>2207</v>
      </c>
      <c r="CX892" s="212">
        <v>1</v>
      </c>
    </row>
    <row r="893" spans="91:102" ht="21" customHeight="1">
      <c r="CM893" s="210"/>
      <c r="CN893" s="213" t="s">
        <v>3125</v>
      </c>
      <c r="CO893" s="213" t="s">
        <v>896</v>
      </c>
      <c r="CP893" s="213" t="s">
        <v>879</v>
      </c>
      <c r="CQ893" s="213" t="s">
        <v>3126</v>
      </c>
      <c r="CR893" s="213" t="s">
        <v>3126</v>
      </c>
      <c r="CS893" s="213" t="s">
        <v>1620</v>
      </c>
      <c r="CT893" s="213" t="s">
        <v>1621</v>
      </c>
      <c r="CU893" s="213" t="s">
        <v>2206</v>
      </c>
      <c r="CV893" s="214" t="s">
        <v>2207</v>
      </c>
      <c r="CX893" s="212">
        <v>1</v>
      </c>
    </row>
    <row r="894" spans="91:102" ht="21" customHeight="1">
      <c r="CM894" s="210"/>
      <c r="CN894" s="213" t="s">
        <v>3127</v>
      </c>
      <c r="CO894" s="213" t="s">
        <v>896</v>
      </c>
      <c r="CP894" s="213" t="s">
        <v>879</v>
      </c>
      <c r="CQ894" s="213" t="s">
        <v>3128</v>
      </c>
      <c r="CR894" s="213" t="s">
        <v>3128</v>
      </c>
      <c r="CS894" s="213" t="s">
        <v>1620</v>
      </c>
      <c r="CT894" s="213" t="s">
        <v>1621</v>
      </c>
      <c r="CU894" s="213" t="s">
        <v>2206</v>
      </c>
      <c r="CV894" s="214" t="s">
        <v>2207</v>
      </c>
      <c r="CX894" s="212">
        <v>1</v>
      </c>
    </row>
    <row r="895" spans="91:102" ht="21" customHeight="1">
      <c r="CM895" s="210"/>
      <c r="CN895" s="213" t="s">
        <v>3129</v>
      </c>
      <c r="CO895" s="213" t="s">
        <v>896</v>
      </c>
      <c r="CP895" s="213" t="s">
        <v>879</v>
      </c>
      <c r="CQ895" s="213" t="s">
        <v>3130</v>
      </c>
      <c r="CR895" s="213" t="s">
        <v>3130</v>
      </c>
      <c r="CS895" s="213" t="s">
        <v>1620</v>
      </c>
      <c r="CT895" s="213" t="s">
        <v>1621</v>
      </c>
      <c r="CU895" s="213" t="s">
        <v>2206</v>
      </c>
      <c r="CV895" s="214" t="s">
        <v>2207</v>
      </c>
      <c r="CX895" s="212">
        <v>1</v>
      </c>
    </row>
    <row r="896" spans="91:102" ht="21" customHeight="1">
      <c r="CM896" s="210"/>
      <c r="CN896" s="213" t="s">
        <v>3131</v>
      </c>
      <c r="CO896" s="213" t="s">
        <v>896</v>
      </c>
      <c r="CP896" s="213" t="s">
        <v>879</v>
      </c>
      <c r="CQ896" s="213" t="s">
        <v>3132</v>
      </c>
      <c r="CR896" s="213" t="s">
        <v>3132</v>
      </c>
      <c r="CS896" s="213" t="s">
        <v>1620</v>
      </c>
      <c r="CT896" s="213" t="s">
        <v>1621</v>
      </c>
      <c r="CU896" s="213" t="s">
        <v>2206</v>
      </c>
      <c r="CV896" s="214" t="s">
        <v>2207</v>
      </c>
      <c r="CX896" s="212">
        <v>1</v>
      </c>
    </row>
    <row r="897" spans="91:102" ht="21" customHeight="1">
      <c r="CM897" s="210"/>
      <c r="CN897" s="213" t="s">
        <v>3133</v>
      </c>
      <c r="CO897" s="213" t="s">
        <v>896</v>
      </c>
      <c r="CP897" s="213" t="s">
        <v>879</v>
      </c>
      <c r="CQ897" s="213" t="s">
        <v>3134</v>
      </c>
      <c r="CR897" s="213" t="s">
        <v>3134</v>
      </c>
      <c r="CS897" s="213" t="s">
        <v>1620</v>
      </c>
      <c r="CT897" s="213" t="s">
        <v>1621</v>
      </c>
      <c r="CU897" s="213" t="s">
        <v>2206</v>
      </c>
      <c r="CV897" s="214" t="s">
        <v>2207</v>
      </c>
      <c r="CX897" s="212">
        <v>1</v>
      </c>
    </row>
    <row r="898" spans="91:102" ht="21" customHeight="1">
      <c r="CM898" s="210"/>
      <c r="CN898" s="213" t="s">
        <v>3135</v>
      </c>
      <c r="CO898" s="213" t="s">
        <v>896</v>
      </c>
      <c r="CP898" s="213" t="s">
        <v>879</v>
      </c>
      <c r="CQ898" s="213" t="s">
        <v>3136</v>
      </c>
      <c r="CR898" s="213" t="s">
        <v>3136</v>
      </c>
      <c r="CS898" s="213" t="s">
        <v>1620</v>
      </c>
      <c r="CT898" s="213" t="s">
        <v>1621</v>
      </c>
      <c r="CU898" s="213" t="s">
        <v>2206</v>
      </c>
      <c r="CV898" s="214" t="s">
        <v>2207</v>
      </c>
      <c r="CX898" s="212">
        <v>1</v>
      </c>
    </row>
    <row r="899" spans="91:102" ht="21" customHeight="1">
      <c r="CM899" s="210"/>
      <c r="CN899" s="213" t="s">
        <v>3137</v>
      </c>
      <c r="CO899" s="213" t="s">
        <v>896</v>
      </c>
      <c r="CP899" s="213" t="s">
        <v>879</v>
      </c>
      <c r="CQ899" s="213" t="s">
        <v>3138</v>
      </c>
      <c r="CR899" s="213" t="s">
        <v>3138</v>
      </c>
      <c r="CS899" s="213" t="s">
        <v>1620</v>
      </c>
      <c r="CT899" s="213" t="s">
        <v>1621</v>
      </c>
      <c r="CU899" s="213" t="s">
        <v>2206</v>
      </c>
      <c r="CV899" s="214" t="s">
        <v>2207</v>
      </c>
      <c r="CX899" s="212">
        <v>1</v>
      </c>
    </row>
    <row r="900" spans="91:102" ht="21" customHeight="1">
      <c r="CM900" s="210"/>
      <c r="CN900" s="213" t="s">
        <v>3139</v>
      </c>
      <c r="CO900" s="213" t="s">
        <v>896</v>
      </c>
      <c r="CP900" s="213" t="s">
        <v>879</v>
      </c>
      <c r="CQ900" s="213" t="s">
        <v>3140</v>
      </c>
      <c r="CR900" s="213" t="s">
        <v>3140</v>
      </c>
      <c r="CS900" s="213" t="s">
        <v>1620</v>
      </c>
      <c r="CT900" s="213" t="s">
        <v>1621</v>
      </c>
      <c r="CU900" s="213" t="s">
        <v>2206</v>
      </c>
      <c r="CV900" s="214" t="s">
        <v>2207</v>
      </c>
      <c r="CX900" s="212">
        <v>1</v>
      </c>
    </row>
    <row r="901" spans="91:102" ht="21" customHeight="1">
      <c r="CM901" s="210"/>
      <c r="CN901" s="213" t="s">
        <v>3141</v>
      </c>
      <c r="CO901" s="213" t="s">
        <v>896</v>
      </c>
      <c r="CP901" s="213" t="s">
        <v>879</v>
      </c>
      <c r="CQ901" s="213" t="s">
        <v>3142</v>
      </c>
      <c r="CR901" s="213" t="s">
        <v>3142</v>
      </c>
      <c r="CS901" s="213" t="s">
        <v>1620</v>
      </c>
      <c r="CT901" s="213" t="s">
        <v>1621</v>
      </c>
      <c r="CU901" s="213" t="s">
        <v>2206</v>
      </c>
      <c r="CV901" s="214" t="s">
        <v>2207</v>
      </c>
      <c r="CX901" s="212">
        <v>1</v>
      </c>
    </row>
    <row r="902" spans="91:102" ht="21" customHeight="1">
      <c r="CM902" s="210"/>
      <c r="CN902" s="213" t="s">
        <v>3143</v>
      </c>
      <c r="CO902" s="213" t="s">
        <v>896</v>
      </c>
      <c r="CP902" s="213" t="s">
        <v>879</v>
      </c>
      <c r="CQ902" s="213" t="s">
        <v>3144</v>
      </c>
      <c r="CR902" s="213" t="s">
        <v>3144</v>
      </c>
      <c r="CS902" s="213" t="s">
        <v>1620</v>
      </c>
      <c r="CT902" s="213" t="s">
        <v>1621</v>
      </c>
      <c r="CU902" s="213" t="s">
        <v>2206</v>
      </c>
      <c r="CV902" s="214" t="s">
        <v>2207</v>
      </c>
      <c r="CX902" s="212">
        <v>1</v>
      </c>
    </row>
    <row r="903" spans="91:102" ht="21" customHeight="1">
      <c r="CM903" s="210"/>
      <c r="CN903" s="213" t="s">
        <v>3145</v>
      </c>
      <c r="CO903" s="213" t="s">
        <v>896</v>
      </c>
      <c r="CP903" s="213" t="s">
        <v>879</v>
      </c>
      <c r="CQ903" s="213" t="s">
        <v>3146</v>
      </c>
      <c r="CR903" s="213" t="s">
        <v>3146</v>
      </c>
      <c r="CS903" s="213" t="s">
        <v>1620</v>
      </c>
      <c r="CT903" s="213" t="s">
        <v>1621</v>
      </c>
      <c r="CU903" s="213" t="s">
        <v>2206</v>
      </c>
      <c r="CV903" s="214" t="s">
        <v>2207</v>
      </c>
      <c r="CX903" s="212">
        <v>1</v>
      </c>
    </row>
    <row r="904" spans="91:102" ht="21" customHeight="1">
      <c r="CM904" s="210"/>
      <c r="CN904" s="213" t="s">
        <v>3147</v>
      </c>
      <c r="CO904" s="213" t="s">
        <v>896</v>
      </c>
      <c r="CP904" s="213" t="s">
        <v>879</v>
      </c>
      <c r="CQ904" s="213" t="s">
        <v>3148</v>
      </c>
      <c r="CR904" s="213" t="s">
        <v>3148</v>
      </c>
      <c r="CS904" s="213" t="s">
        <v>1620</v>
      </c>
      <c r="CT904" s="213" t="s">
        <v>1621</v>
      </c>
      <c r="CU904" s="213" t="s">
        <v>2206</v>
      </c>
      <c r="CV904" s="214" t="s">
        <v>2207</v>
      </c>
      <c r="CX904" s="212">
        <v>1</v>
      </c>
    </row>
    <row r="905" spans="91:102" ht="21" customHeight="1">
      <c r="CM905" s="210"/>
      <c r="CN905" s="213" t="s">
        <v>3149</v>
      </c>
      <c r="CO905" s="213" t="s">
        <v>896</v>
      </c>
      <c r="CP905" s="213" t="s">
        <v>879</v>
      </c>
      <c r="CQ905" s="213" t="s">
        <v>3150</v>
      </c>
      <c r="CR905" s="213" t="s">
        <v>3150</v>
      </c>
      <c r="CS905" s="213" t="s">
        <v>1620</v>
      </c>
      <c r="CT905" s="213" t="s">
        <v>1621</v>
      </c>
      <c r="CU905" s="213" t="s">
        <v>2206</v>
      </c>
      <c r="CV905" s="214" t="s">
        <v>2207</v>
      </c>
      <c r="CX905" s="212">
        <v>1</v>
      </c>
    </row>
    <row r="906" spans="91:102" ht="21" customHeight="1">
      <c r="CM906" s="210"/>
      <c r="CN906" s="213" t="s">
        <v>3151</v>
      </c>
      <c r="CO906" s="213" t="s">
        <v>896</v>
      </c>
      <c r="CP906" s="213" t="s">
        <v>879</v>
      </c>
      <c r="CQ906" s="213" t="s">
        <v>3152</v>
      </c>
      <c r="CR906" s="213" t="s">
        <v>3152</v>
      </c>
      <c r="CS906" s="213" t="s">
        <v>1620</v>
      </c>
      <c r="CT906" s="213" t="s">
        <v>1621</v>
      </c>
      <c r="CU906" s="213" t="s">
        <v>2206</v>
      </c>
      <c r="CV906" s="214" t="s">
        <v>2207</v>
      </c>
      <c r="CX906" s="212">
        <v>1</v>
      </c>
    </row>
    <row r="907" spans="91:102" ht="21" customHeight="1">
      <c r="CM907" s="210"/>
      <c r="CN907" s="213" t="s">
        <v>3153</v>
      </c>
      <c r="CO907" s="213" t="s">
        <v>896</v>
      </c>
      <c r="CP907" s="213" t="s">
        <v>879</v>
      </c>
      <c r="CQ907" s="213" t="s">
        <v>3154</v>
      </c>
      <c r="CR907" s="213" t="s">
        <v>3154</v>
      </c>
      <c r="CS907" s="213" t="s">
        <v>1620</v>
      </c>
      <c r="CT907" s="213" t="s">
        <v>1621</v>
      </c>
      <c r="CU907" s="213" t="s">
        <v>2206</v>
      </c>
      <c r="CV907" s="214" t="s">
        <v>2207</v>
      </c>
      <c r="CX907" s="212">
        <v>1</v>
      </c>
    </row>
    <row r="908" spans="91:102" ht="21" customHeight="1">
      <c r="CM908" s="210"/>
      <c r="CN908" s="213" t="s">
        <v>3155</v>
      </c>
      <c r="CO908" s="213" t="s">
        <v>896</v>
      </c>
      <c r="CP908" s="213" t="s">
        <v>879</v>
      </c>
      <c r="CQ908" s="213" t="s">
        <v>3156</v>
      </c>
      <c r="CR908" s="213" t="s">
        <v>3156</v>
      </c>
      <c r="CS908" s="213" t="s">
        <v>1620</v>
      </c>
      <c r="CT908" s="213" t="s">
        <v>1621</v>
      </c>
      <c r="CU908" s="213" t="s">
        <v>2206</v>
      </c>
      <c r="CV908" s="214" t="s">
        <v>2207</v>
      </c>
      <c r="CX908" s="212">
        <v>1</v>
      </c>
    </row>
    <row r="909" spans="91:102" ht="21" customHeight="1">
      <c r="CM909" s="210"/>
      <c r="CN909" s="213" t="s">
        <v>3157</v>
      </c>
      <c r="CO909" s="213" t="s">
        <v>896</v>
      </c>
      <c r="CP909" s="213" t="s">
        <v>879</v>
      </c>
      <c r="CQ909" s="213" t="s">
        <v>3158</v>
      </c>
      <c r="CR909" s="213" t="s">
        <v>3158</v>
      </c>
      <c r="CS909" s="213" t="s">
        <v>1620</v>
      </c>
      <c r="CT909" s="213" t="s">
        <v>1621</v>
      </c>
      <c r="CU909" s="213" t="s">
        <v>2206</v>
      </c>
      <c r="CV909" s="214" t="s">
        <v>2207</v>
      </c>
      <c r="CX909" s="212">
        <v>1</v>
      </c>
    </row>
    <row r="910" spans="91:102" ht="21" customHeight="1">
      <c r="CM910" s="210"/>
      <c r="CN910" s="213" t="s">
        <v>3159</v>
      </c>
      <c r="CO910" s="213" t="s">
        <v>896</v>
      </c>
      <c r="CP910" s="213" t="s">
        <v>879</v>
      </c>
      <c r="CQ910" s="213" t="s">
        <v>3160</v>
      </c>
      <c r="CR910" s="213" t="s">
        <v>3160</v>
      </c>
      <c r="CS910" s="213" t="s">
        <v>1620</v>
      </c>
      <c r="CT910" s="213" t="s">
        <v>1621</v>
      </c>
      <c r="CU910" s="213" t="s">
        <v>2206</v>
      </c>
      <c r="CV910" s="214" t="s">
        <v>2207</v>
      </c>
      <c r="CX910" s="212">
        <v>1</v>
      </c>
    </row>
    <row r="911" spans="91:102" ht="21" customHeight="1">
      <c r="CM911" s="210"/>
      <c r="CN911" s="213" t="s">
        <v>3161</v>
      </c>
      <c r="CO911" s="213" t="s">
        <v>896</v>
      </c>
      <c r="CP911" s="213" t="s">
        <v>879</v>
      </c>
      <c r="CQ911" s="213" t="s">
        <v>3162</v>
      </c>
      <c r="CR911" s="213" t="s">
        <v>3162</v>
      </c>
      <c r="CS911" s="213" t="s">
        <v>1620</v>
      </c>
      <c r="CT911" s="213" t="s">
        <v>1621</v>
      </c>
      <c r="CU911" s="213" t="s">
        <v>2206</v>
      </c>
      <c r="CV911" s="214" t="s">
        <v>2207</v>
      </c>
      <c r="CX911" s="212">
        <v>1</v>
      </c>
    </row>
    <row r="912" spans="91:102" ht="21" customHeight="1">
      <c r="CM912" s="210"/>
      <c r="CN912" s="213" t="s">
        <v>3163</v>
      </c>
      <c r="CO912" s="213" t="s">
        <v>896</v>
      </c>
      <c r="CP912" s="213" t="s">
        <v>879</v>
      </c>
      <c r="CQ912" s="213" t="s">
        <v>3164</v>
      </c>
      <c r="CR912" s="213" t="s">
        <v>3164</v>
      </c>
      <c r="CS912" s="213" t="s">
        <v>1620</v>
      </c>
      <c r="CT912" s="213" t="s">
        <v>1621</v>
      </c>
      <c r="CU912" s="213" t="s">
        <v>2206</v>
      </c>
      <c r="CV912" s="214" t="s">
        <v>2207</v>
      </c>
      <c r="CX912" s="212">
        <v>1</v>
      </c>
    </row>
    <row r="913" spans="91:102" ht="21" customHeight="1">
      <c r="CM913" s="210"/>
      <c r="CN913" s="213" t="s">
        <v>3165</v>
      </c>
      <c r="CO913" s="213" t="s">
        <v>896</v>
      </c>
      <c r="CP913" s="213" t="s">
        <v>879</v>
      </c>
      <c r="CQ913" s="213" t="s">
        <v>3166</v>
      </c>
      <c r="CR913" s="213" t="s">
        <v>3166</v>
      </c>
      <c r="CS913" s="213" t="s">
        <v>881</v>
      </c>
      <c r="CT913" s="213" t="s">
        <v>2289</v>
      </c>
      <c r="CU913" s="213" t="s">
        <v>883</v>
      </c>
      <c r="CV913" s="214" t="s">
        <v>884</v>
      </c>
      <c r="CX913" s="212">
        <v>1</v>
      </c>
    </row>
    <row r="914" spans="91:102" ht="21" customHeight="1">
      <c r="CM914" s="210"/>
      <c r="CN914" s="213" t="s">
        <v>3167</v>
      </c>
      <c r="CO914" s="213" t="s">
        <v>896</v>
      </c>
      <c r="CP914" s="213" t="s">
        <v>879</v>
      </c>
      <c r="CQ914" s="213" t="s">
        <v>3168</v>
      </c>
      <c r="CR914" s="213" t="s">
        <v>3168</v>
      </c>
      <c r="CS914" s="213" t="s">
        <v>1620</v>
      </c>
      <c r="CT914" s="213" t="s">
        <v>1621</v>
      </c>
      <c r="CU914" s="213" t="s">
        <v>2206</v>
      </c>
      <c r="CV914" s="214" t="s">
        <v>2207</v>
      </c>
      <c r="CX914" s="212">
        <v>1</v>
      </c>
    </row>
    <row r="915" spans="91:102" ht="21" customHeight="1">
      <c r="CM915" s="210"/>
      <c r="CN915" s="213" t="s">
        <v>3169</v>
      </c>
      <c r="CO915" s="213" t="s">
        <v>896</v>
      </c>
      <c r="CP915" s="213" t="s">
        <v>879</v>
      </c>
      <c r="CQ915" s="213" t="s">
        <v>3170</v>
      </c>
      <c r="CR915" s="213" t="s">
        <v>3170</v>
      </c>
      <c r="CS915" s="213" t="s">
        <v>1620</v>
      </c>
      <c r="CT915" s="213" t="s">
        <v>1621</v>
      </c>
      <c r="CU915" s="213" t="s">
        <v>2206</v>
      </c>
      <c r="CV915" s="214" t="s">
        <v>2207</v>
      </c>
      <c r="CX915" s="212">
        <v>1</v>
      </c>
    </row>
    <row r="916" spans="91:102" ht="21" customHeight="1">
      <c r="CM916" s="210"/>
      <c r="CN916" s="213" t="s">
        <v>3171</v>
      </c>
      <c r="CO916" s="213" t="s">
        <v>896</v>
      </c>
      <c r="CP916" s="213" t="s">
        <v>879</v>
      </c>
      <c r="CQ916" s="213" t="s">
        <v>3172</v>
      </c>
      <c r="CR916" s="213" t="s">
        <v>3172</v>
      </c>
      <c r="CS916" s="213" t="s">
        <v>1620</v>
      </c>
      <c r="CT916" s="213" t="s">
        <v>1621</v>
      </c>
      <c r="CU916" s="213" t="s">
        <v>2206</v>
      </c>
      <c r="CV916" s="214" t="s">
        <v>2207</v>
      </c>
      <c r="CX916" s="212">
        <v>1</v>
      </c>
    </row>
    <row r="917" spans="91:102" ht="21" customHeight="1">
      <c r="CM917" s="210"/>
      <c r="CN917" s="213" t="s">
        <v>3173</v>
      </c>
      <c r="CO917" s="213" t="s">
        <v>896</v>
      </c>
      <c r="CP917" s="213" t="s">
        <v>879</v>
      </c>
      <c r="CQ917" s="213" t="s">
        <v>3174</v>
      </c>
      <c r="CR917" s="213" t="s">
        <v>3174</v>
      </c>
      <c r="CS917" s="213" t="s">
        <v>1620</v>
      </c>
      <c r="CT917" s="213" t="s">
        <v>1621</v>
      </c>
      <c r="CU917" s="213" t="s">
        <v>2206</v>
      </c>
      <c r="CV917" s="214" t="s">
        <v>2207</v>
      </c>
      <c r="CX917" s="212">
        <v>1</v>
      </c>
    </row>
    <row r="918" spans="91:102" ht="21" customHeight="1">
      <c r="CM918" s="210"/>
      <c r="CN918" s="213" t="s">
        <v>3175</v>
      </c>
      <c r="CO918" s="213" t="s">
        <v>896</v>
      </c>
      <c r="CP918" s="213" t="s">
        <v>879</v>
      </c>
      <c r="CQ918" s="213" t="s">
        <v>3176</v>
      </c>
      <c r="CR918" s="213" t="s">
        <v>3176</v>
      </c>
      <c r="CS918" s="213" t="s">
        <v>1620</v>
      </c>
      <c r="CT918" s="213" t="s">
        <v>1621</v>
      </c>
      <c r="CU918" s="213" t="s">
        <v>2206</v>
      </c>
      <c r="CV918" s="214" t="s">
        <v>2207</v>
      </c>
      <c r="CX918" s="212">
        <v>1</v>
      </c>
    </row>
    <row r="919" spans="91:102" ht="21" customHeight="1">
      <c r="CM919" s="210"/>
      <c r="CN919" s="213" t="s">
        <v>3177</v>
      </c>
      <c r="CO919" s="213" t="s">
        <v>896</v>
      </c>
      <c r="CP919" s="213" t="s">
        <v>879</v>
      </c>
      <c r="CQ919" s="213" t="s">
        <v>3178</v>
      </c>
      <c r="CR919" s="213" t="s">
        <v>3178</v>
      </c>
      <c r="CS919" s="213" t="s">
        <v>1620</v>
      </c>
      <c r="CT919" s="213" t="s">
        <v>1621</v>
      </c>
      <c r="CU919" s="213" t="s">
        <v>2206</v>
      </c>
      <c r="CV919" s="214" t="s">
        <v>2207</v>
      </c>
      <c r="CX919" s="212">
        <v>1</v>
      </c>
    </row>
    <row r="920" spans="91:102" ht="21" customHeight="1">
      <c r="CM920" s="210"/>
      <c r="CN920" s="213" t="s">
        <v>3179</v>
      </c>
      <c r="CO920" s="213" t="s">
        <v>896</v>
      </c>
      <c r="CP920" s="213" t="s">
        <v>879</v>
      </c>
      <c r="CQ920" s="213" t="s">
        <v>3180</v>
      </c>
      <c r="CR920" s="213" t="s">
        <v>3180</v>
      </c>
      <c r="CS920" s="213" t="s">
        <v>1620</v>
      </c>
      <c r="CT920" s="213" t="s">
        <v>1621</v>
      </c>
      <c r="CU920" s="213" t="s">
        <v>2206</v>
      </c>
      <c r="CV920" s="214" t="s">
        <v>2207</v>
      </c>
      <c r="CX920" s="212">
        <v>1</v>
      </c>
    </row>
    <row r="921" spans="91:102" ht="21" customHeight="1">
      <c r="CM921" s="210"/>
      <c r="CN921" s="213" t="s">
        <v>3181</v>
      </c>
      <c r="CO921" s="213" t="s">
        <v>896</v>
      </c>
      <c r="CP921" s="213" t="s">
        <v>879</v>
      </c>
      <c r="CQ921" s="213" t="s">
        <v>3182</v>
      </c>
      <c r="CR921" s="213" t="s">
        <v>3182</v>
      </c>
      <c r="CS921" s="213" t="s">
        <v>1620</v>
      </c>
      <c r="CT921" s="213" t="s">
        <v>1621</v>
      </c>
      <c r="CU921" s="213" t="s">
        <v>2206</v>
      </c>
      <c r="CV921" s="214" t="s">
        <v>2207</v>
      </c>
      <c r="CX921" s="212">
        <v>1</v>
      </c>
    </row>
    <row r="922" spans="91:102" ht="21" customHeight="1">
      <c r="CM922" s="210"/>
      <c r="CN922" s="213" t="s">
        <v>3183</v>
      </c>
      <c r="CO922" s="213" t="s">
        <v>896</v>
      </c>
      <c r="CP922" s="213" t="s">
        <v>879</v>
      </c>
      <c r="CQ922" s="213" t="s">
        <v>3184</v>
      </c>
      <c r="CR922" s="213" t="s">
        <v>3184</v>
      </c>
      <c r="CS922" s="213" t="s">
        <v>1620</v>
      </c>
      <c r="CT922" s="213" t="s">
        <v>1621</v>
      </c>
      <c r="CU922" s="213" t="s">
        <v>2206</v>
      </c>
      <c r="CV922" s="214" t="s">
        <v>2207</v>
      </c>
      <c r="CX922" s="212">
        <v>1</v>
      </c>
    </row>
    <row r="923" spans="91:102" ht="21" customHeight="1">
      <c r="CM923" s="210"/>
      <c r="CN923" s="213" t="s">
        <v>3185</v>
      </c>
      <c r="CO923" s="213" t="s">
        <v>896</v>
      </c>
      <c r="CP923" s="213" t="s">
        <v>879</v>
      </c>
      <c r="CQ923" s="213" t="s">
        <v>3186</v>
      </c>
      <c r="CR923" s="213" t="s">
        <v>3186</v>
      </c>
      <c r="CS923" s="213" t="s">
        <v>1620</v>
      </c>
      <c r="CT923" s="213" t="s">
        <v>1621</v>
      </c>
      <c r="CU923" s="213" t="s">
        <v>2206</v>
      </c>
      <c r="CV923" s="214" t="s">
        <v>2207</v>
      </c>
      <c r="CX923" s="212">
        <v>1</v>
      </c>
    </row>
    <row r="924" spans="91:102" ht="21" customHeight="1">
      <c r="CM924" s="210"/>
      <c r="CN924" s="213" t="s">
        <v>3187</v>
      </c>
      <c r="CO924" s="213" t="s">
        <v>896</v>
      </c>
      <c r="CP924" s="213" t="s">
        <v>879</v>
      </c>
      <c r="CQ924" s="213" t="s">
        <v>3188</v>
      </c>
      <c r="CR924" s="213" t="s">
        <v>3188</v>
      </c>
      <c r="CS924" s="213" t="s">
        <v>1620</v>
      </c>
      <c r="CT924" s="213" t="s">
        <v>1621</v>
      </c>
      <c r="CU924" s="213" t="s">
        <v>2206</v>
      </c>
      <c r="CV924" s="214" t="s">
        <v>2207</v>
      </c>
      <c r="CX924" s="212">
        <v>1</v>
      </c>
    </row>
    <row r="925" spans="91:102" ht="21" customHeight="1">
      <c r="CM925" s="210"/>
      <c r="CN925" s="213" t="s">
        <v>3189</v>
      </c>
      <c r="CO925" s="213" t="s">
        <v>896</v>
      </c>
      <c r="CP925" s="213" t="s">
        <v>879</v>
      </c>
      <c r="CQ925" s="213" t="s">
        <v>3190</v>
      </c>
      <c r="CR925" s="213" t="s">
        <v>3190</v>
      </c>
      <c r="CS925" s="213" t="s">
        <v>1620</v>
      </c>
      <c r="CT925" s="213" t="s">
        <v>1621</v>
      </c>
      <c r="CU925" s="213" t="s">
        <v>2206</v>
      </c>
      <c r="CV925" s="214" t="s">
        <v>2207</v>
      </c>
      <c r="CX925" s="212">
        <v>1</v>
      </c>
    </row>
    <row r="926" spans="91:102" ht="21" customHeight="1">
      <c r="CM926" s="210"/>
      <c r="CN926" s="213" t="s">
        <v>3191</v>
      </c>
      <c r="CO926" s="213" t="s">
        <v>896</v>
      </c>
      <c r="CP926" s="213" t="s">
        <v>879</v>
      </c>
      <c r="CQ926" s="213" t="s">
        <v>3192</v>
      </c>
      <c r="CR926" s="213" t="s">
        <v>3192</v>
      </c>
      <c r="CS926" s="213" t="s">
        <v>1620</v>
      </c>
      <c r="CT926" s="213" t="s">
        <v>1621</v>
      </c>
      <c r="CU926" s="213" t="s">
        <v>2206</v>
      </c>
      <c r="CV926" s="214" t="s">
        <v>2207</v>
      </c>
      <c r="CX926" s="212">
        <v>1</v>
      </c>
    </row>
    <row r="927" spans="91:102" ht="21" customHeight="1">
      <c r="CM927" s="210"/>
      <c r="CN927" s="213" t="s">
        <v>3193</v>
      </c>
      <c r="CO927" s="213" t="s">
        <v>896</v>
      </c>
      <c r="CP927" s="213" t="s">
        <v>879</v>
      </c>
      <c r="CQ927" s="213" t="s">
        <v>3194</v>
      </c>
      <c r="CR927" s="213" t="s">
        <v>3194</v>
      </c>
      <c r="CS927" s="213" t="s">
        <v>1620</v>
      </c>
      <c r="CT927" s="213" t="s">
        <v>1621</v>
      </c>
      <c r="CU927" s="213" t="s">
        <v>2206</v>
      </c>
      <c r="CV927" s="214" t="s">
        <v>2207</v>
      </c>
      <c r="CX927" s="212">
        <v>1</v>
      </c>
    </row>
    <row r="928" spans="91:102" ht="21" customHeight="1">
      <c r="CM928" s="210"/>
      <c r="CN928" s="213" t="s">
        <v>3195</v>
      </c>
      <c r="CO928" s="213" t="s">
        <v>896</v>
      </c>
      <c r="CP928" s="213" t="s">
        <v>879</v>
      </c>
      <c r="CQ928" s="213" t="s">
        <v>3196</v>
      </c>
      <c r="CR928" s="213" t="s">
        <v>3196</v>
      </c>
      <c r="CS928" s="213" t="s">
        <v>1620</v>
      </c>
      <c r="CT928" s="213" t="s">
        <v>1621</v>
      </c>
      <c r="CU928" s="213" t="s">
        <v>2206</v>
      </c>
      <c r="CV928" s="214" t="s">
        <v>2207</v>
      </c>
      <c r="CX928" s="212">
        <v>1</v>
      </c>
    </row>
    <row r="929" spans="91:102" ht="21" customHeight="1">
      <c r="CM929" s="210"/>
      <c r="CN929" s="213" t="s">
        <v>3197</v>
      </c>
      <c r="CO929" s="213" t="s">
        <v>896</v>
      </c>
      <c r="CP929" s="213" t="s">
        <v>879</v>
      </c>
      <c r="CQ929" s="213" t="s">
        <v>3198</v>
      </c>
      <c r="CR929" s="213" t="s">
        <v>3198</v>
      </c>
      <c r="CS929" s="213" t="s">
        <v>1620</v>
      </c>
      <c r="CT929" s="213" t="s">
        <v>1621</v>
      </c>
      <c r="CU929" s="213" t="s">
        <v>2206</v>
      </c>
      <c r="CV929" s="214" t="s">
        <v>2207</v>
      </c>
      <c r="CX929" s="212">
        <v>1</v>
      </c>
    </row>
    <row r="930" spans="91:102" ht="21" customHeight="1">
      <c r="CM930" s="210"/>
      <c r="CN930" s="213" t="s">
        <v>3199</v>
      </c>
      <c r="CO930" s="213" t="s">
        <v>896</v>
      </c>
      <c r="CP930" s="213" t="s">
        <v>879</v>
      </c>
      <c r="CQ930" s="213" t="s">
        <v>3200</v>
      </c>
      <c r="CR930" s="213" t="s">
        <v>3200</v>
      </c>
      <c r="CS930" s="213" t="s">
        <v>1620</v>
      </c>
      <c r="CT930" s="213" t="s">
        <v>1621</v>
      </c>
      <c r="CU930" s="213" t="s">
        <v>2206</v>
      </c>
      <c r="CV930" s="214" t="s">
        <v>2207</v>
      </c>
      <c r="CX930" s="212">
        <v>1</v>
      </c>
    </row>
    <row r="931" spans="91:102" ht="21" customHeight="1">
      <c r="CM931" s="210"/>
      <c r="CN931" s="213" t="s">
        <v>3201</v>
      </c>
      <c r="CO931" s="213" t="s">
        <v>896</v>
      </c>
      <c r="CP931" s="213" t="s">
        <v>879</v>
      </c>
      <c r="CQ931" s="213" t="s">
        <v>3202</v>
      </c>
      <c r="CR931" s="213" t="s">
        <v>3202</v>
      </c>
      <c r="CS931" s="213" t="s">
        <v>1620</v>
      </c>
      <c r="CT931" s="213" t="s">
        <v>1621</v>
      </c>
      <c r="CU931" s="213" t="s">
        <v>2206</v>
      </c>
      <c r="CV931" s="214" t="s">
        <v>2207</v>
      </c>
      <c r="CX931" s="212">
        <v>1</v>
      </c>
    </row>
    <row r="932" spans="91:102" ht="21" customHeight="1">
      <c r="CM932" s="210"/>
      <c r="CN932" s="213" t="s">
        <v>3203</v>
      </c>
      <c r="CO932" s="213" t="s">
        <v>896</v>
      </c>
      <c r="CP932" s="213" t="s">
        <v>879</v>
      </c>
      <c r="CQ932" s="213" t="s">
        <v>3204</v>
      </c>
      <c r="CR932" s="213" t="s">
        <v>3204</v>
      </c>
      <c r="CS932" s="213" t="s">
        <v>1620</v>
      </c>
      <c r="CT932" s="213" t="s">
        <v>1621</v>
      </c>
      <c r="CU932" s="213" t="s">
        <v>2206</v>
      </c>
      <c r="CV932" s="214" t="s">
        <v>2207</v>
      </c>
      <c r="CX932" s="212">
        <v>1</v>
      </c>
    </row>
    <row r="933" spans="91:102" ht="21" customHeight="1">
      <c r="CM933" s="210"/>
      <c r="CN933" s="213" t="s">
        <v>3205</v>
      </c>
      <c r="CO933" s="213" t="s">
        <v>896</v>
      </c>
      <c r="CP933" s="213" t="s">
        <v>879</v>
      </c>
      <c r="CQ933" s="213" t="s">
        <v>3206</v>
      </c>
      <c r="CR933" s="213" t="s">
        <v>3206</v>
      </c>
      <c r="CS933" s="213" t="s">
        <v>1620</v>
      </c>
      <c r="CT933" s="213" t="s">
        <v>1621</v>
      </c>
      <c r="CU933" s="213" t="s">
        <v>2206</v>
      </c>
      <c r="CV933" s="214" t="s">
        <v>2207</v>
      </c>
      <c r="CX933" s="212">
        <v>1</v>
      </c>
    </row>
    <row r="934" spans="91:102" ht="21" customHeight="1">
      <c r="CM934" s="210"/>
      <c r="CN934" s="213" t="s">
        <v>3207</v>
      </c>
      <c r="CO934" s="213" t="s">
        <v>896</v>
      </c>
      <c r="CP934" s="213" t="s">
        <v>879</v>
      </c>
      <c r="CQ934" s="213" t="s">
        <v>3208</v>
      </c>
      <c r="CR934" s="213" t="s">
        <v>3208</v>
      </c>
      <c r="CS934" s="213" t="s">
        <v>1620</v>
      </c>
      <c r="CT934" s="213" t="s">
        <v>1621</v>
      </c>
      <c r="CU934" s="213" t="s">
        <v>2206</v>
      </c>
      <c r="CV934" s="214" t="s">
        <v>2207</v>
      </c>
      <c r="CX934" s="212">
        <v>1</v>
      </c>
    </row>
    <row r="935" spans="91:102" ht="21" customHeight="1">
      <c r="CM935" s="210"/>
      <c r="CN935" s="213" t="s">
        <v>3209</v>
      </c>
      <c r="CO935" s="213" t="s">
        <v>896</v>
      </c>
      <c r="CP935" s="213" t="s">
        <v>879</v>
      </c>
      <c r="CQ935" s="213" t="s">
        <v>3210</v>
      </c>
      <c r="CR935" s="213" t="s">
        <v>3210</v>
      </c>
      <c r="CS935" s="213" t="s">
        <v>1620</v>
      </c>
      <c r="CT935" s="213" t="s">
        <v>1621</v>
      </c>
      <c r="CU935" s="213" t="s">
        <v>2206</v>
      </c>
      <c r="CV935" s="214" t="s">
        <v>2207</v>
      </c>
      <c r="CX935" s="212">
        <v>1</v>
      </c>
    </row>
    <row r="936" spans="91:102" ht="21" customHeight="1">
      <c r="CM936" s="210"/>
      <c r="CN936" s="213" t="s">
        <v>3211</v>
      </c>
      <c r="CO936" s="213" t="s">
        <v>896</v>
      </c>
      <c r="CP936" s="213" t="s">
        <v>879</v>
      </c>
      <c r="CQ936" s="213" t="s">
        <v>3212</v>
      </c>
      <c r="CR936" s="213" t="s">
        <v>3212</v>
      </c>
      <c r="CS936" s="213" t="s">
        <v>1620</v>
      </c>
      <c r="CT936" s="213" t="s">
        <v>1621</v>
      </c>
      <c r="CU936" s="213" t="s">
        <v>2206</v>
      </c>
      <c r="CV936" s="214" t="s">
        <v>2207</v>
      </c>
      <c r="CX936" s="212">
        <v>1</v>
      </c>
    </row>
    <row r="937" spans="91:102" ht="21" customHeight="1">
      <c r="CM937" s="210"/>
      <c r="CN937" s="213" t="s">
        <v>3213</v>
      </c>
      <c r="CO937" s="213" t="s">
        <v>896</v>
      </c>
      <c r="CP937" s="213" t="s">
        <v>879</v>
      </c>
      <c r="CQ937" s="213" t="s">
        <v>3214</v>
      </c>
      <c r="CR937" s="213" t="s">
        <v>3214</v>
      </c>
      <c r="CS937" s="213" t="s">
        <v>1620</v>
      </c>
      <c r="CT937" s="213" t="s">
        <v>1621</v>
      </c>
      <c r="CU937" s="213" t="s">
        <v>2206</v>
      </c>
      <c r="CV937" s="214" t="s">
        <v>2207</v>
      </c>
      <c r="CX937" s="212">
        <v>1</v>
      </c>
    </row>
    <row r="938" spans="91:102" ht="21" customHeight="1">
      <c r="CM938" s="210"/>
      <c r="CN938" s="213" t="s">
        <v>3215</v>
      </c>
      <c r="CO938" s="213" t="s">
        <v>896</v>
      </c>
      <c r="CP938" s="213" t="s">
        <v>879</v>
      </c>
      <c r="CQ938" s="213" t="s">
        <v>3216</v>
      </c>
      <c r="CR938" s="213" t="s">
        <v>3216</v>
      </c>
      <c r="CS938" s="213" t="s">
        <v>1620</v>
      </c>
      <c r="CT938" s="213" t="s">
        <v>1621</v>
      </c>
      <c r="CU938" s="213" t="s">
        <v>2206</v>
      </c>
      <c r="CV938" s="214" t="s">
        <v>2207</v>
      </c>
      <c r="CX938" s="212">
        <v>1</v>
      </c>
    </row>
    <row r="939" spans="91:102" ht="21" customHeight="1">
      <c r="CM939" s="210"/>
      <c r="CN939" s="213" t="s">
        <v>3217</v>
      </c>
      <c r="CO939" s="213" t="s">
        <v>896</v>
      </c>
      <c r="CP939" s="213" t="s">
        <v>879</v>
      </c>
      <c r="CQ939" s="213" t="s">
        <v>3218</v>
      </c>
      <c r="CR939" s="213" t="s">
        <v>3218</v>
      </c>
      <c r="CS939" s="213" t="s">
        <v>1620</v>
      </c>
      <c r="CT939" s="213" t="s">
        <v>1621</v>
      </c>
      <c r="CU939" s="213" t="s">
        <v>2206</v>
      </c>
      <c r="CV939" s="214" t="s">
        <v>2207</v>
      </c>
      <c r="CX939" s="212">
        <v>1</v>
      </c>
    </row>
    <row r="940" spans="91:102" ht="21" customHeight="1">
      <c r="CM940" s="210"/>
      <c r="CN940" s="213" t="s">
        <v>3219</v>
      </c>
      <c r="CO940" s="213" t="s">
        <v>896</v>
      </c>
      <c r="CP940" s="213" t="s">
        <v>879</v>
      </c>
      <c r="CQ940" s="213" t="s">
        <v>3220</v>
      </c>
      <c r="CR940" s="213" t="s">
        <v>3220</v>
      </c>
      <c r="CS940" s="213" t="s">
        <v>1620</v>
      </c>
      <c r="CT940" s="213" t="s">
        <v>1621</v>
      </c>
      <c r="CU940" s="213" t="s">
        <v>2206</v>
      </c>
      <c r="CV940" s="214" t="s">
        <v>2207</v>
      </c>
      <c r="CX940" s="212">
        <v>1</v>
      </c>
    </row>
    <row r="941" spans="91:102" ht="21" customHeight="1">
      <c r="CM941" s="210"/>
      <c r="CN941" s="213" t="s">
        <v>3221</v>
      </c>
      <c r="CO941" s="213" t="s">
        <v>896</v>
      </c>
      <c r="CP941" s="213" t="s">
        <v>879</v>
      </c>
      <c r="CQ941" s="213" t="s">
        <v>3222</v>
      </c>
      <c r="CR941" s="213" t="s">
        <v>3222</v>
      </c>
      <c r="CS941" s="213" t="s">
        <v>1620</v>
      </c>
      <c r="CT941" s="213" t="s">
        <v>1621</v>
      </c>
      <c r="CU941" s="213" t="s">
        <v>2206</v>
      </c>
      <c r="CV941" s="214" t="s">
        <v>2207</v>
      </c>
      <c r="CX941" s="212">
        <v>1</v>
      </c>
    </row>
    <row r="942" spans="91:102" ht="21" customHeight="1">
      <c r="CM942" s="210"/>
      <c r="CN942" s="213" t="s">
        <v>3223</v>
      </c>
      <c r="CO942" s="213" t="s">
        <v>896</v>
      </c>
      <c r="CP942" s="213" t="s">
        <v>879</v>
      </c>
      <c r="CQ942" s="213" t="s">
        <v>3224</v>
      </c>
      <c r="CR942" s="213" t="s">
        <v>3224</v>
      </c>
      <c r="CS942" s="213" t="s">
        <v>1620</v>
      </c>
      <c r="CT942" s="213" t="s">
        <v>1621</v>
      </c>
      <c r="CU942" s="213" t="s">
        <v>2206</v>
      </c>
      <c r="CV942" s="214" t="s">
        <v>2207</v>
      </c>
      <c r="CX942" s="212">
        <v>1</v>
      </c>
    </row>
    <row r="943" spans="91:102" ht="21" customHeight="1">
      <c r="CM943" s="210"/>
      <c r="CN943" s="213" t="s">
        <v>3225</v>
      </c>
      <c r="CO943" s="213" t="s">
        <v>896</v>
      </c>
      <c r="CP943" s="213" t="s">
        <v>879</v>
      </c>
      <c r="CQ943" s="213" t="s">
        <v>3226</v>
      </c>
      <c r="CR943" s="213" t="s">
        <v>3226</v>
      </c>
      <c r="CS943" s="213" t="s">
        <v>1620</v>
      </c>
      <c r="CT943" s="213" t="s">
        <v>1621</v>
      </c>
      <c r="CU943" s="213" t="s">
        <v>2206</v>
      </c>
      <c r="CV943" s="214" t="s">
        <v>2207</v>
      </c>
      <c r="CX943" s="212">
        <v>1</v>
      </c>
    </row>
    <row r="944" spans="91:102" ht="21" customHeight="1">
      <c r="CM944" s="210"/>
      <c r="CN944" s="213" t="s">
        <v>3227</v>
      </c>
      <c r="CO944" s="213" t="s">
        <v>896</v>
      </c>
      <c r="CP944" s="213" t="s">
        <v>879</v>
      </c>
      <c r="CQ944" s="213" t="s">
        <v>3228</v>
      </c>
      <c r="CR944" s="213" t="s">
        <v>3228</v>
      </c>
      <c r="CS944" s="213" t="s">
        <v>1620</v>
      </c>
      <c r="CT944" s="213" t="s">
        <v>1621</v>
      </c>
      <c r="CU944" s="213" t="s">
        <v>2206</v>
      </c>
      <c r="CV944" s="214" t="s">
        <v>2207</v>
      </c>
      <c r="CX944" s="212">
        <v>1</v>
      </c>
    </row>
    <row r="945" spans="91:102" ht="21" customHeight="1">
      <c r="CM945" s="210"/>
      <c r="CN945" s="213" t="s">
        <v>3229</v>
      </c>
      <c r="CO945" s="213" t="s">
        <v>896</v>
      </c>
      <c r="CP945" s="213" t="s">
        <v>879</v>
      </c>
      <c r="CQ945" s="213" t="s">
        <v>3230</v>
      </c>
      <c r="CR945" s="213" t="s">
        <v>3230</v>
      </c>
      <c r="CS945" s="213" t="s">
        <v>1620</v>
      </c>
      <c r="CT945" s="213" t="s">
        <v>1621</v>
      </c>
      <c r="CU945" s="213" t="s">
        <v>2206</v>
      </c>
      <c r="CV945" s="214" t="s">
        <v>2207</v>
      </c>
      <c r="CX945" s="212">
        <v>1</v>
      </c>
    </row>
    <row r="946" spans="91:102" ht="21" customHeight="1">
      <c r="CM946" s="210"/>
      <c r="CN946" s="213" t="s">
        <v>3231</v>
      </c>
      <c r="CO946" s="213" t="s">
        <v>896</v>
      </c>
      <c r="CP946" s="213" t="s">
        <v>879</v>
      </c>
      <c r="CQ946" s="213" t="s">
        <v>3232</v>
      </c>
      <c r="CR946" s="213" t="s">
        <v>3232</v>
      </c>
      <c r="CS946" s="213" t="s">
        <v>1620</v>
      </c>
      <c r="CT946" s="213" t="s">
        <v>1621</v>
      </c>
      <c r="CU946" s="213" t="s">
        <v>2206</v>
      </c>
      <c r="CV946" s="214" t="s">
        <v>2207</v>
      </c>
      <c r="CX946" s="212">
        <v>1</v>
      </c>
    </row>
    <row r="947" spans="91:102" ht="21" customHeight="1">
      <c r="CM947" s="210"/>
      <c r="CN947" s="213" t="s">
        <v>3233</v>
      </c>
      <c r="CO947" s="213" t="s">
        <v>896</v>
      </c>
      <c r="CP947" s="213" t="s">
        <v>879</v>
      </c>
      <c r="CQ947" s="213" t="s">
        <v>3234</v>
      </c>
      <c r="CR947" s="213" t="s">
        <v>3234</v>
      </c>
      <c r="CS947" s="213" t="s">
        <v>1620</v>
      </c>
      <c r="CT947" s="213" t="s">
        <v>1621</v>
      </c>
      <c r="CU947" s="213" t="s">
        <v>2206</v>
      </c>
      <c r="CV947" s="214" t="s">
        <v>2207</v>
      </c>
      <c r="CX947" s="212">
        <v>1</v>
      </c>
    </row>
    <row r="948" spans="91:102" ht="21" customHeight="1">
      <c r="CM948" s="210"/>
      <c r="CN948" s="213" t="s">
        <v>3235</v>
      </c>
      <c r="CO948" s="213" t="s">
        <v>896</v>
      </c>
      <c r="CP948" s="213" t="s">
        <v>879</v>
      </c>
      <c r="CQ948" s="213" t="s">
        <v>3236</v>
      </c>
      <c r="CR948" s="213" t="s">
        <v>3236</v>
      </c>
      <c r="CS948" s="213" t="s">
        <v>1620</v>
      </c>
      <c r="CT948" s="213" t="s">
        <v>1621</v>
      </c>
      <c r="CU948" s="213" t="s">
        <v>2206</v>
      </c>
      <c r="CV948" s="214" t="s">
        <v>2207</v>
      </c>
      <c r="CX948" s="212">
        <v>1</v>
      </c>
    </row>
    <row r="949" spans="91:102" ht="21" customHeight="1">
      <c r="CM949" s="210"/>
      <c r="CN949" s="213" t="s">
        <v>3237</v>
      </c>
      <c r="CO949" s="213" t="s">
        <v>896</v>
      </c>
      <c r="CP949" s="213" t="s">
        <v>879</v>
      </c>
      <c r="CQ949" s="213" t="s">
        <v>3238</v>
      </c>
      <c r="CR949" s="213" t="s">
        <v>3238</v>
      </c>
      <c r="CS949" s="213" t="s">
        <v>1620</v>
      </c>
      <c r="CT949" s="213" t="s">
        <v>1621</v>
      </c>
      <c r="CU949" s="213" t="s">
        <v>2206</v>
      </c>
      <c r="CV949" s="214" t="s">
        <v>2207</v>
      </c>
      <c r="CX949" s="212">
        <v>1</v>
      </c>
    </row>
    <row r="950" spans="91:102" ht="21" customHeight="1">
      <c r="CM950" s="210"/>
      <c r="CN950" s="213" t="s">
        <v>3239</v>
      </c>
      <c r="CO950" s="213" t="s">
        <v>896</v>
      </c>
      <c r="CP950" s="213" t="s">
        <v>879</v>
      </c>
      <c r="CQ950" s="213" t="s">
        <v>3240</v>
      </c>
      <c r="CR950" s="213" t="s">
        <v>3240</v>
      </c>
      <c r="CS950" s="213" t="s">
        <v>1620</v>
      </c>
      <c r="CT950" s="213" t="s">
        <v>1621</v>
      </c>
      <c r="CU950" s="213" t="s">
        <v>2206</v>
      </c>
      <c r="CV950" s="214" t="s">
        <v>2207</v>
      </c>
      <c r="CX950" s="212">
        <v>1</v>
      </c>
    </row>
    <row r="951" spans="91:102" ht="21" customHeight="1">
      <c r="CM951" s="210"/>
      <c r="CN951" s="213" t="s">
        <v>3241</v>
      </c>
      <c r="CO951" s="213" t="s">
        <v>896</v>
      </c>
      <c r="CP951" s="213" t="s">
        <v>879</v>
      </c>
      <c r="CQ951" s="213" t="s">
        <v>3242</v>
      </c>
      <c r="CR951" s="213" t="s">
        <v>3242</v>
      </c>
      <c r="CS951" s="213" t="s">
        <v>1620</v>
      </c>
      <c r="CT951" s="213" t="s">
        <v>1621</v>
      </c>
      <c r="CU951" s="213" t="s">
        <v>2206</v>
      </c>
      <c r="CV951" s="214" t="s">
        <v>2207</v>
      </c>
      <c r="CX951" s="212">
        <v>1</v>
      </c>
    </row>
    <row r="952" spans="91:102" ht="21" customHeight="1">
      <c r="CM952" s="210"/>
      <c r="CN952" s="213" t="s">
        <v>3243</v>
      </c>
      <c r="CO952" s="213" t="s">
        <v>896</v>
      </c>
      <c r="CP952" s="213" t="s">
        <v>879</v>
      </c>
      <c r="CQ952" s="213" t="s">
        <v>3244</v>
      </c>
      <c r="CR952" s="213" t="s">
        <v>3244</v>
      </c>
      <c r="CS952" s="213" t="s">
        <v>1620</v>
      </c>
      <c r="CT952" s="213" t="s">
        <v>1621</v>
      </c>
      <c r="CU952" s="213" t="s">
        <v>2206</v>
      </c>
      <c r="CV952" s="214" t="s">
        <v>2207</v>
      </c>
      <c r="CX952" s="212">
        <v>1</v>
      </c>
    </row>
    <row r="953" spans="91:102" ht="21" customHeight="1">
      <c r="CM953" s="210"/>
      <c r="CN953" s="213" t="s">
        <v>3245</v>
      </c>
      <c r="CO953" s="213" t="s">
        <v>896</v>
      </c>
      <c r="CP953" s="213" t="s">
        <v>879</v>
      </c>
      <c r="CQ953" s="213" t="s">
        <v>3246</v>
      </c>
      <c r="CR953" s="213" t="s">
        <v>3246</v>
      </c>
      <c r="CS953" s="213" t="s">
        <v>1620</v>
      </c>
      <c r="CT953" s="213" t="s">
        <v>1621</v>
      </c>
      <c r="CU953" s="213" t="s">
        <v>2206</v>
      </c>
      <c r="CV953" s="214" t="s">
        <v>2207</v>
      </c>
      <c r="CX953" s="212">
        <v>1</v>
      </c>
    </row>
    <row r="954" spans="91:102" ht="21" customHeight="1">
      <c r="CM954" s="210"/>
      <c r="CN954" s="213" t="s">
        <v>3247</v>
      </c>
      <c r="CO954" s="213" t="s">
        <v>896</v>
      </c>
      <c r="CP954" s="213" t="s">
        <v>879</v>
      </c>
      <c r="CQ954" s="213" t="s">
        <v>3248</v>
      </c>
      <c r="CR954" s="213" t="s">
        <v>3248</v>
      </c>
      <c r="CS954" s="213" t="s">
        <v>1620</v>
      </c>
      <c r="CT954" s="213" t="s">
        <v>1621</v>
      </c>
      <c r="CU954" s="213" t="s">
        <v>2206</v>
      </c>
      <c r="CV954" s="214" t="s">
        <v>2207</v>
      </c>
      <c r="CX954" s="212">
        <v>1</v>
      </c>
    </row>
    <row r="955" spans="91:102" ht="21" customHeight="1">
      <c r="CM955" s="210"/>
      <c r="CN955" s="213" t="s">
        <v>3249</v>
      </c>
      <c r="CO955" s="213" t="s">
        <v>896</v>
      </c>
      <c r="CP955" s="213" t="s">
        <v>879</v>
      </c>
      <c r="CQ955" s="213" t="s">
        <v>3250</v>
      </c>
      <c r="CR955" s="213" t="s">
        <v>3250</v>
      </c>
      <c r="CS955" s="213" t="s">
        <v>1620</v>
      </c>
      <c r="CT955" s="213" t="s">
        <v>1621</v>
      </c>
      <c r="CU955" s="213" t="s">
        <v>2206</v>
      </c>
      <c r="CV955" s="214" t="s">
        <v>2207</v>
      </c>
      <c r="CX955" s="212">
        <v>1</v>
      </c>
    </row>
    <row r="956" spans="91:102" ht="21" customHeight="1">
      <c r="CM956" s="210"/>
      <c r="CN956" s="213" t="s">
        <v>3251</v>
      </c>
      <c r="CO956" s="213" t="s">
        <v>896</v>
      </c>
      <c r="CP956" s="213" t="s">
        <v>879</v>
      </c>
      <c r="CQ956" s="213" t="s">
        <v>3252</v>
      </c>
      <c r="CR956" s="213" t="s">
        <v>3252</v>
      </c>
      <c r="CS956" s="213" t="s">
        <v>1620</v>
      </c>
      <c r="CT956" s="213" t="s">
        <v>1621</v>
      </c>
      <c r="CU956" s="213" t="s">
        <v>2206</v>
      </c>
      <c r="CV956" s="214" t="s">
        <v>2207</v>
      </c>
      <c r="CX956" s="212">
        <v>1</v>
      </c>
    </row>
    <row r="957" spans="91:102" ht="21" customHeight="1">
      <c r="CM957" s="210"/>
      <c r="CN957" s="213" t="s">
        <v>3253</v>
      </c>
      <c r="CO957" s="213" t="s">
        <v>896</v>
      </c>
      <c r="CP957" s="213" t="s">
        <v>879</v>
      </c>
      <c r="CQ957" s="213" t="s">
        <v>3254</v>
      </c>
      <c r="CR957" s="213" t="s">
        <v>3254</v>
      </c>
      <c r="CS957" s="213" t="s">
        <v>1620</v>
      </c>
      <c r="CT957" s="213" t="s">
        <v>1621</v>
      </c>
      <c r="CU957" s="213" t="s">
        <v>2206</v>
      </c>
      <c r="CV957" s="214" t="s">
        <v>2207</v>
      </c>
      <c r="CX957" s="212">
        <v>1</v>
      </c>
    </row>
    <row r="958" spans="91:102" ht="21" customHeight="1">
      <c r="CM958" s="210"/>
      <c r="CN958" s="213" t="s">
        <v>3255</v>
      </c>
      <c r="CO958" s="213" t="s">
        <v>896</v>
      </c>
      <c r="CP958" s="213" t="s">
        <v>879</v>
      </c>
      <c r="CQ958" s="213" t="s">
        <v>3256</v>
      </c>
      <c r="CR958" s="213" t="s">
        <v>3256</v>
      </c>
      <c r="CS958" s="213" t="s">
        <v>1620</v>
      </c>
      <c r="CT958" s="213" t="s">
        <v>1621</v>
      </c>
      <c r="CU958" s="213" t="s">
        <v>2206</v>
      </c>
      <c r="CV958" s="214" t="s">
        <v>2207</v>
      </c>
      <c r="CX958" s="212">
        <v>1</v>
      </c>
    </row>
    <row r="959" spans="91:102" ht="21" customHeight="1">
      <c r="CM959" s="210"/>
      <c r="CN959" s="213" t="s">
        <v>3257</v>
      </c>
      <c r="CO959" s="213" t="s">
        <v>896</v>
      </c>
      <c r="CP959" s="213" t="s">
        <v>879</v>
      </c>
      <c r="CQ959" s="213" t="s">
        <v>3258</v>
      </c>
      <c r="CR959" s="213" t="s">
        <v>3258</v>
      </c>
      <c r="CS959" s="213" t="s">
        <v>1620</v>
      </c>
      <c r="CT959" s="213" t="s">
        <v>1621</v>
      </c>
      <c r="CU959" s="213" t="s">
        <v>2206</v>
      </c>
      <c r="CV959" s="214" t="s">
        <v>2207</v>
      </c>
      <c r="CX959" s="212">
        <v>1</v>
      </c>
    </row>
    <row r="960" spans="91:102" ht="21" customHeight="1">
      <c r="CM960" s="210"/>
      <c r="CN960" s="213" t="s">
        <v>3259</v>
      </c>
      <c r="CO960" s="213" t="s">
        <v>896</v>
      </c>
      <c r="CP960" s="213" t="s">
        <v>879</v>
      </c>
      <c r="CQ960" s="213" t="s">
        <v>3260</v>
      </c>
      <c r="CR960" s="213" t="s">
        <v>3260</v>
      </c>
      <c r="CS960" s="213" t="s">
        <v>1620</v>
      </c>
      <c r="CT960" s="213" t="s">
        <v>1621</v>
      </c>
      <c r="CU960" s="213" t="s">
        <v>2206</v>
      </c>
      <c r="CV960" s="214" t="s">
        <v>2207</v>
      </c>
      <c r="CX960" s="212">
        <v>1</v>
      </c>
    </row>
    <row r="961" spans="91:102" ht="21" customHeight="1">
      <c r="CM961" s="210"/>
      <c r="CN961" s="213" t="s">
        <v>3261</v>
      </c>
      <c r="CO961" s="213" t="s">
        <v>896</v>
      </c>
      <c r="CP961" s="213" t="s">
        <v>879</v>
      </c>
      <c r="CQ961" s="213" t="s">
        <v>3262</v>
      </c>
      <c r="CR961" s="213" t="s">
        <v>3262</v>
      </c>
      <c r="CS961" s="213" t="s">
        <v>1620</v>
      </c>
      <c r="CT961" s="213" t="s">
        <v>1621</v>
      </c>
      <c r="CU961" s="213" t="s">
        <v>2206</v>
      </c>
      <c r="CV961" s="214" t="s">
        <v>2207</v>
      </c>
      <c r="CX961" s="212">
        <v>1</v>
      </c>
    </row>
    <row r="962" spans="91:102" ht="21" customHeight="1">
      <c r="CM962" s="210"/>
      <c r="CN962" s="213" t="s">
        <v>3263</v>
      </c>
      <c r="CO962" s="213" t="s">
        <v>896</v>
      </c>
      <c r="CP962" s="213" t="s">
        <v>879</v>
      </c>
      <c r="CQ962" s="213" t="s">
        <v>3264</v>
      </c>
      <c r="CR962" s="213" t="s">
        <v>3264</v>
      </c>
      <c r="CS962" s="213" t="s">
        <v>1620</v>
      </c>
      <c r="CT962" s="213" t="s">
        <v>1621</v>
      </c>
      <c r="CU962" s="213" t="s">
        <v>2206</v>
      </c>
      <c r="CV962" s="214" t="s">
        <v>2207</v>
      </c>
      <c r="CX962" s="212">
        <v>1</v>
      </c>
    </row>
    <row r="963" spans="91:102" ht="21" customHeight="1">
      <c r="CM963" s="210"/>
      <c r="CN963" s="213" t="s">
        <v>3265</v>
      </c>
      <c r="CO963" s="213" t="s">
        <v>896</v>
      </c>
      <c r="CP963" s="213" t="s">
        <v>879</v>
      </c>
      <c r="CQ963" s="213" t="s">
        <v>3266</v>
      </c>
      <c r="CR963" s="213" t="s">
        <v>3266</v>
      </c>
      <c r="CS963" s="213" t="s">
        <v>1620</v>
      </c>
      <c r="CT963" s="213" t="s">
        <v>1621</v>
      </c>
      <c r="CU963" s="213" t="s">
        <v>2206</v>
      </c>
      <c r="CV963" s="214" t="s">
        <v>2207</v>
      </c>
      <c r="CX963" s="212">
        <v>1</v>
      </c>
    </row>
    <row r="964" spans="91:102" ht="21" customHeight="1">
      <c r="CM964" s="210"/>
      <c r="CN964" s="213" t="s">
        <v>3267</v>
      </c>
      <c r="CO964" s="213" t="s">
        <v>896</v>
      </c>
      <c r="CP964" s="213" t="s">
        <v>879</v>
      </c>
      <c r="CQ964" s="213" t="s">
        <v>3268</v>
      </c>
      <c r="CR964" s="213" t="s">
        <v>3268</v>
      </c>
      <c r="CS964" s="213" t="s">
        <v>1620</v>
      </c>
      <c r="CT964" s="213" t="s">
        <v>1621</v>
      </c>
      <c r="CU964" s="213" t="s">
        <v>2206</v>
      </c>
      <c r="CV964" s="214" t="s">
        <v>2207</v>
      </c>
      <c r="CX964" s="212">
        <v>1</v>
      </c>
    </row>
    <row r="965" spans="91:102" ht="21" customHeight="1">
      <c r="CM965" s="210"/>
      <c r="CN965" s="213" t="s">
        <v>3269</v>
      </c>
      <c r="CO965" s="213" t="s">
        <v>896</v>
      </c>
      <c r="CP965" s="213" t="s">
        <v>879</v>
      </c>
      <c r="CQ965" s="213" t="s">
        <v>3270</v>
      </c>
      <c r="CR965" s="213" t="s">
        <v>3270</v>
      </c>
      <c r="CS965" s="213" t="s">
        <v>1620</v>
      </c>
      <c r="CT965" s="213" t="s">
        <v>1621</v>
      </c>
      <c r="CU965" s="213" t="s">
        <v>2206</v>
      </c>
      <c r="CV965" s="214" t="s">
        <v>2207</v>
      </c>
      <c r="CX965" s="212">
        <v>1</v>
      </c>
    </row>
    <row r="966" spans="91:102" ht="21" customHeight="1">
      <c r="CM966" s="210"/>
      <c r="CN966" s="213" t="s">
        <v>3271</v>
      </c>
      <c r="CO966" s="213" t="s">
        <v>896</v>
      </c>
      <c r="CP966" s="213" t="s">
        <v>879</v>
      </c>
      <c r="CQ966" s="213" t="s">
        <v>3272</v>
      </c>
      <c r="CR966" s="213" t="s">
        <v>3272</v>
      </c>
      <c r="CS966" s="213" t="s">
        <v>1620</v>
      </c>
      <c r="CT966" s="213" t="s">
        <v>1621</v>
      </c>
      <c r="CU966" s="213" t="s">
        <v>2206</v>
      </c>
      <c r="CV966" s="214" t="s">
        <v>2207</v>
      </c>
      <c r="CX966" s="212">
        <v>1</v>
      </c>
    </row>
    <row r="967" spans="91:102" ht="21" customHeight="1">
      <c r="CM967" s="210"/>
      <c r="CN967" s="213" t="s">
        <v>3273</v>
      </c>
      <c r="CO967" s="213" t="s">
        <v>896</v>
      </c>
      <c r="CP967" s="213" t="s">
        <v>879</v>
      </c>
      <c r="CQ967" s="213" t="s">
        <v>3274</v>
      </c>
      <c r="CR967" s="213" t="s">
        <v>3274</v>
      </c>
      <c r="CS967" s="213" t="s">
        <v>1620</v>
      </c>
      <c r="CT967" s="213" t="s">
        <v>1621</v>
      </c>
      <c r="CU967" s="213" t="s">
        <v>2206</v>
      </c>
      <c r="CV967" s="214" t="s">
        <v>2207</v>
      </c>
      <c r="CX967" s="212">
        <v>1</v>
      </c>
    </row>
    <row r="968" spans="91:102" ht="21" customHeight="1">
      <c r="CM968" s="210"/>
      <c r="CN968" s="213" t="s">
        <v>3275</v>
      </c>
      <c r="CO968" s="213" t="s">
        <v>896</v>
      </c>
      <c r="CP968" s="213" t="s">
        <v>879</v>
      </c>
      <c r="CQ968" s="213" t="s">
        <v>3276</v>
      </c>
      <c r="CR968" s="213" t="s">
        <v>3276</v>
      </c>
      <c r="CS968" s="213" t="s">
        <v>1620</v>
      </c>
      <c r="CT968" s="213" t="s">
        <v>1621</v>
      </c>
      <c r="CU968" s="213" t="s">
        <v>2206</v>
      </c>
      <c r="CV968" s="214" t="s">
        <v>2207</v>
      </c>
      <c r="CX968" s="212">
        <v>1</v>
      </c>
    </row>
    <row r="969" spans="91:102" ht="21" customHeight="1">
      <c r="CM969" s="210"/>
      <c r="CN969" s="213" t="s">
        <v>3277</v>
      </c>
      <c r="CO969" s="213" t="s">
        <v>896</v>
      </c>
      <c r="CP969" s="213" t="s">
        <v>879</v>
      </c>
      <c r="CQ969" s="213" t="s">
        <v>3278</v>
      </c>
      <c r="CR969" s="213" t="s">
        <v>3278</v>
      </c>
      <c r="CS969" s="213" t="s">
        <v>1620</v>
      </c>
      <c r="CT969" s="213" t="s">
        <v>1621</v>
      </c>
      <c r="CU969" s="213" t="s">
        <v>2206</v>
      </c>
      <c r="CV969" s="214" t="s">
        <v>2207</v>
      </c>
      <c r="CX969" s="212">
        <v>1</v>
      </c>
    </row>
    <row r="970" spans="91:102" ht="21" customHeight="1">
      <c r="CM970" s="210"/>
      <c r="CN970" s="213" t="s">
        <v>3279</v>
      </c>
      <c r="CO970" s="213" t="s">
        <v>896</v>
      </c>
      <c r="CP970" s="213" t="s">
        <v>879</v>
      </c>
      <c r="CQ970" s="213" t="s">
        <v>3280</v>
      </c>
      <c r="CR970" s="213" t="s">
        <v>3280</v>
      </c>
      <c r="CS970" s="213" t="s">
        <v>1620</v>
      </c>
      <c r="CT970" s="213" t="s">
        <v>1621</v>
      </c>
      <c r="CU970" s="213" t="s">
        <v>2206</v>
      </c>
      <c r="CV970" s="214" t="s">
        <v>2207</v>
      </c>
      <c r="CX970" s="212">
        <v>1</v>
      </c>
    </row>
    <row r="971" spans="91:102" ht="21" customHeight="1">
      <c r="CM971" s="210"/>
      <c r="CN971" s="213" t="s">
        <v>3281</v>
      </c>
      <c r="CO971" s="213" t="s">
        <v>896</v>
      </c>
      <c r="CP971" s="213" t="s">
        <v>879</v>
      </c>
      <c r="CQ971" s="213" t="s">
        <v>3282</v>
      </c>
      <c r="CR971" s="213" t="s">
        <v>3282</v>
      </c>
      <c r="CS971" s="213" t="s">
        <v>1620</v>
      </c>
      <c r="CT971" s="213" t="s">
        <v>1621</v>
      </c>
      <c r="CU971" s="213" t="s">
        <v>2206</v>
      </c>
      <c r="CV971" s="214" t="s">
        <v>2207</v>
      </c>
      <c r="CX971" s="212">
        <v>1</v>
      </c>
    </row>
    <row r="972" spans="91:102" ht="21" customHeight="1">
      <c r="CM972" s="210"/>
      <c r="CN972" s="213" t="s">
        <v>3283</v>
      </c>
      <c r="CO972" s="213" t="s">
        <v>896</v>
      </c>
      <c r="CP972" s="213" t="s">
        <v>879</v>
      </c>
      <c r="CQ972" s="213" t="s">
        <v>3284</v>
      </c>
      <c r="CR972" s="213" t="s">
        <v>3284</v>
      </c>
      <c r="CS972" s="213" t="s">
        <v>971</v>
      </c>
      <c r="CT972" s="213" t="s">
        <v>972</v>
      </c>
      <c r="CU972" s="213" t="s">
        <v>883</v>
      </c>
      <c r="CV972" s="214" t="s">
        <v>973</v>
      </c>
      <c r="CX972" s="212">
        <v>1</v>
      </c>
    </row>
    <row r="973" spans="91:102" ht="21" customHeight="1">
      <c r="CM973" s="210"/>
      <c r="CN973" s="213" t="s">
        <v>3285</v>
      </c>
      <c r="CO973" s="213" t="s">
        <v>896</v>
      </c>
      <c r="CP973" s="213" t="s">
        <v>879</v>
      </c>
      <c r="CQ973" s="213" t="s">
        <v>3286</v>
      </c>
      <c r="CR973" s="213" t="s">
        <v>3286</v>
      </c>
      <c r="CS973" s="213" t="s">
        <v>1620</v>
      </c>
      <c r="CT973" s="213" t="s">
        <v>1621</v>
      </c>
      <c r="CU973" s="213" t="s">
        <v>2206</v>
      </c>
      <c r="CV973" s="214" t="s">
        <v>2207</v>
      </c>
      <c r="CX973" s="212">
        <v>1</v>
      </c>
    </row>
    <row r="974" spans="91:102" ht="21" customHeight="1">
      <c r="CM974" s="210"/>
      <c r="CN974" s="213" t="s">
        <v>3287</v>
      </c>
      <c r="CO974" s="213" t="s">
        <v>896</v>
      </c>
      <c r="CP974" s="213" t="s">
        <v>879</v>
      </c>
      <c r="CQ974" s="213" t="s">
        <v>3288</v>
      </c>
      <c r="CR974" s="213" t="s">
        <v>3288</v>
      </c>
      <c r="CS974" s="213" t="s">
        <v>1620</v>
      </c>
      <c r="CT974" s="213" t="s">
        <v>1621</v>
      </c>
      <c r="CU974" s="213" t="s">
        <v>2206</v>
      </c>
      <c r="CV974" s="214" t="s">
        <v>2207</v>
      </c>
      <c r="CX974" s="212">
        <v>1</v>
      </c>
    </row>
    <row r="975" spans="91:102" ht="21" customHeight="1">
      <c r="CM975" s="210"/>
      <c r="CN975" s="213" t="s">
        <v>3289</v>
      </c>
      <c r="CO975" s="213" t="s">
        <v>896</v>
      </c>
      <c r="CP975" s="213" t="s">
        <v>879</v>
      </c>
      <c r="CQ975" s="213" t="s">
        <v>3290</v>
      </c>
      <c r="CR975" s="213" t="s">
        <v>3290</v>
      </c>
      <c r="CS975" s="213" t="s">
        <v>1620</v>
      </c>
      <c r="CT975" s="213" t="s">
        <v>1621</v>
      </c>
      <c r="CU975" s="213" t="s">
        <v>2206</v>
      </c>
      <c r="CV975" s="214" t="s">
        <v>2207</v>
      </c>
      <c r="CX975" s="212">
        <v>1</v>
      </c>
    </row>
    <row r="976" spans="91:102" ht="21" customHeight="1">
      <c r="CM976" s="210"/>
      <c r="CN976" s="213" t="s">
        <v>3291</v>
      </c>
      <c r="CO976" s="213" t="s">
        <v>896</v>
      </c>
      <c r="CP976" s="213" t="s">
        <v>879</v>
      </c>
      <c r="CQ976" s="213" t="s">
        <v>3292</v>
      </c>
      <c r="CR976" s="213" t="s">
        <v>3292</v>
      </c>
      <c r="CS976" s="213" t="s">
        <v>1620</v>
      </c>
      <c r="CT976" s="213" t="s">
        <v>1621</v>
      </c>
      <c r="CU976" s="213" t="s">
        <v>2206</v>
      </c>
      <c r="CV976" s="214" t="s">
        <v>2207</v>
      </c>
      <c r="CX976" s="212">
        <v>1</v>
      </c>
    </row>
    <row r="977" spans="91:102" ht="21" customHeight="1">
      <c r="CM977" s="210"/>
      <c r="CN977" s="213" t="s">
        <v>3293</v>
      </c>
      <c r="CO977" s="213" t="s">
        <v>896</v>
      </c>
      <c r="CP977" s="213" t="s">
        <v>879</v>
      </c>
      <c r="CQ977" s="213" t="s">
        <v>3294</v>
      </c>
      <c r="CR977" s="213" t="s">
        <v>3294</v>
      </c>
      <c r="CS977" s="213" t="s">
        <v>1620</v>
      </c>
      <c r="CT977" s="213" t="s">
        <v>1621</v>
      </c>
      <c r="CU977" s="213" t="s">
        <v>2206</v>
      </c>
      <c r="CV977" s="214" t="s">
        <v>2207</v>
      </c>
      <c r="CX977" s="212">
        <v>1</v>
      </c>
    </row>
    <row r="978" spans="91:102" ht="21" customHeight="1">
      <c r="CM978" s="210"/>
      <c r="CN978" s="213" t="s">
        <v>3295</v>
      </c>
      <c r="CO978" s="213" t="s">
        <v>896</v>
      </c>
      <c r="CP978" s="213" t="s">
        <v>879</v>
      </c>
      <c r="CQ978" s="213" t="s">
        <v>3296</v>
      </c>
      <c r="CR978" s="213" t="s">
        <v>3296</v>
      </c>
      <c r="CS978" s="213" t="s">
        <v>1620</v>
      </c>
      <c r="CT978" s="213" t="s">
        <v>1621</v>
      </c>
      <c r="CU978" s="213" t="s">
        <v>2206</v>
      </c>
      <c r="CV978" s="214" t="s">
        <v>2207</v>
      </c>
      <c r="CX978" s="212">
        <v>1</v>
      </c>
    </row>
    <row r="979" spans="91:102" ht="21" customHeight="1">
      <c r="CM979" s="210"/>
      <c r="CN979" s="213" t="s">
        <v>3297</v>
      </c>
      <c r="CO979" s="213" t="s">
        <v>896</v>
      </c>
      <c r="CP979" s="213" t="s">
        <v>879</v>
      </c>
      <c r="CQ979" s="213" t="s">
        <v>3298</v>
      </c>
      <c r="CR979" s="213" t="s">
        <v>3298</v>
      </c>
      <c r="CS979" s="213" t="s">
        <v>1620</v>
      </c>
      <c r="CT979" s="213" t="s">
        <v>1621</v>
      </c>
      <c r="CU979" s="213" t="s">
        <v>2206</v>
      </c>
      <c r="CV979" s="214" t="s">
        <v>2207</v>
      </c>
      <c r="CX979" s="212">
        <v>1</v>
      </c>
    </row>
    <row r="980" spans="91:102" ht="21" customHeight="1">
      <c r="CM980" s="210"/>
      <c r="CN980" s="213" t="s">
        <v>3299</v>
      </c>
      <c r="CO980" s="213" t="s">
        <v>896</v>
      </c>
      <c r="CP980" s="213" t="s">
        <v>879</v>
      </c>
      <c r="CQ980" s="213" t="s">
        <v>3300</v>
      </c>
      <c r="CR980" s="213" t="s">
        <v>3300</v>
      </c>
      <c r="CS980" s="213" t="s">
        <v>1620</v>
      </c>
      <c r="CT980" s="213" t="s">
        <v>1621</v>
      </c>
      <c r="CU980" s="213" t="s">
        <v>2206</v>
      </c>
      <c r="CV980" s="214" t="s">
        <v>2207</v>
      </c>
      <c r="CX980" s="212">
        <v>1</v>
      </c>
    </row>
    <row r="981" spans="91:102" ht="21" customHeight="1">
      <c r="CM981" s="210"/>
      <c r="CN981" s="213" t="s">
        <v>3301</v>
      </c>
      <c r="CO981" s="213" t="s">
        <v>896</v>
      </c>
      <c r="CP981" s="213" t="s">
        <v>879</v>
      </c>
      <c r="CQ981" s="213" t="s">
        <v>3302</v>
      </c>
      <c r="CR981" s="213" t="s">
        <v>3302</v>
      </c>
      <c r="CS981" s="213" t="s">
        <v>1620</v>
      </c>
      <c r="CT981" s="213" t="s">
        <v>1621</v>
      </c>
      <c r="CU981" s="213" t="s">
        <v>2206</v>
      </c>
      <c r="CV981" s="214" t="s">
        <v>2207</v>
      </c>
      <c r="CX981" s="212">
        <v>1</v>
      </c>
    </row>
    <row r="982" spans="91:102" ht="21" customHeight="1">
      <c r="CM982" s="210"/>
      <c r="CN982" s="213" t="s">
        <v>3303</v>
      </c>
      <c r="CO982" s="213" t="s">
        <v>896</v>
      </c>
      <c r="CP982" s="213" t="s">
        <v>879</v>
      </c>
      <c r="CQ982" s="213" t="s">
        <v>3304</v>
      </c>
      <c r="CR982" s="213" t="s">
        <v>3304</v>
      </c>
      <c r="CS982" s="213" t="s">
        <v>1620</v>
      </c>
      <c r="CT982" s="213" t="s">
        <v>1621</v>
      </c>
      <c r="CU982" s="213" t="s">
        <v>2206</v>
      </c>
      <c r="CV982" s="214" t="s">
        <v>2207</v>
      </c>
      <c r="CX982" s="212">
        <v>1</v>
      </c>
    </row>
    <row r="983" spans="91:102" ht="21" customHeight="1">
      <c r="CM983" s="210"/>
      <c r="CN983" s="213" t="s">
        <v>3305</v>
      </c>
      <c r="CO983" s="213" t="s">
        <v>896</v>
      </c>
      <c r="CP983" s="213" t="s">
        <v>879</v>
      </c>
      <c r="CQ983" s="213" t="s">
        <v>3306</v>
      </c>
      <c r="CR983" s="213" t="s">
        <v>3306</v>
      </c>
      <c r="CS983" s="213" t="s">
        <v>1620</v>
      </c>
      <c r="CT983" s="213" t="s">
        <v>1621</v>
      </c>
      <c r="CU983" s="213" t="s">
        <v>2206</v>
      </c>
      <c r="CV983" s="214" t="s">
        <v>2207</v>
      </c>
      <c r="CX983" s="212">
        <v>1</v>
      </c>
    </row>
    <row r="984" spans="91:102" ht="21" customHeight="1">
      <c r="CM984" s="210"/>
      <c r="CN984" s="213" t="s">
        <v>3307</v>
      </c>
      <c r="CO984" s="213" t="s">
        <v>896</v>
      </c>
      <c r="CP984" s="213" t="s">
        <v>879</v>
      </c>
      <c r="CQ984" s="213" t="s">
        <v>3308</v>
      </c>
      <c r="CR984" s="213" t="s">
        <v>3308</v>
      </c>
      <c r="CS984" s="213" t="s">
        <v>1620</v>
      </c>
      <c r="CT984" s="213" t="s">
        <v>1621</v>
      </c>
      <c r="CU984" s="213" t="s">
        <v>2206</v>
      </c>
      <c r="CV984" s="214" t="s">
        <v>2207</v>
      </c>
      <c r="CX984" s="212">
        <v>1</v>
      </c>
    </row>
    <row r="985" spans="91:102" ht="21" customHeight="1">
      <c r="CM985" s="210"/>
      <c r="CN985" s="213" t="s">
        <v>3309</v>
      </c>
      <c r="CO985" s="213" t="s">
        <v>896</v>
      </c>
      <c r="CP985" s="213" t="s">
        <v>879</v>
      </c>
      <c r="CQ985" s="213" t="s">
        <v>3310</v>
      </c>
      <c r="CR985" s="213" t="s">
        <v>3310</v>
      </c>
      <c r="CS985" s="213" t="s">
        <v>1620</v>
      </c>
      <c r="CT985" s="213" t="s">
        <v>1621</v>
      </c>
      <c r="CU985" s="213" t="s">
        <v>2206</v>
      </c>
      <c r="CV985" s="214" t="s">
        <v>2207</v>
      </c>
      <c r="CX985" s="212">
        <v>1</v>
      </c>
    </row>
    <row r="986" spans="91:102" ht="21" customHeight="1">
      <c r="CM986" s="210"/>
      <c r="CN986" s="213" t="s">
        <v>3311</v>
      </c>
      <c r="CO986" s="213" t="s">
        <v>896</v>
      </c>
      <c r="CP986" s="213" t="s">
        <v>879</v>
      </c>
      <c r="CQ986" s="213" t="s">
        <v>3312</v>
      </c>
      <c r="CR986" s="213" t="s">
        <v>3312</v>
      </c>
      <c r="CS986" s="213" t="s">
        <v>1620</v>
      </c>
      <c r="CT986" s="213" t="s">
        <v>1621</v>
      </c>
      <c r="CU986" s="213" t="s">
        <v>2206</v>
      </c>
      <c r="CV986" s="214" t="s">
        <v>2207</v>
      </c>
      <c r="CX986" s="212">
        <v>1</v>
      </c>
    </row>
    <row r="987" spans="91:102" ht="21" customHeight="1">
      <c r="CM987" s="210"/>
      <c r="CN987" s="213" t="s">
        <v>3313</v>
      </c>
      <c r="CO987" s="213" t="s">
        <v>896</v>
      </c>
      <c r="CP987" s="213" t="s">
        <v>879</v>
      </c>
      <c r="CQ987" s="213" t="s">
        <v>3314</v>
      </c>
      <c r="CR987" s="213" t="s">
        <v>3314</v>
      </c>
      <c r="CS987" s="213" t="s">
        <v>1620</v>
      </c>
      <c r="CT987" s="213" t="s">
        <v>1621</v>
      </c>
      <c r="CU987" s="213" t="s">
        <v>2206</v>
      </c>
      <c r="CV987" s="214" t="s">
        <v>2207</v>
      </c>
      <c r="CX987" s="212">
        <v>1</v>
      </c>
    </row>
    <row r="988" spans="91:102" ht="21" customHeight="1">
      <c r="CM988" s="210"/>
      <c r="CN988" s="213" t="s">
        <v>3315</v>
      </c>
      <c r="CO988" s="213" t="s">
        <v>896</v>
      </c>
      <c r="CP988" s="213" t="s">
        <v>879</v>
      </c>
      <c r="CQ988" s="213" t="s">
        <v>3316</v>
      </c>
      <c r="CR988" s="213" t="s">
        <v>3316</v>
      </c>
      <c r="CS988" s="213" t="s">
        <v>1620</v>
      </c>
      <c r="CT988" s="213" t="s">
        <v>1621</v>
      </c>
      <c r="CU988" s="213" t="s">
        <v>2206</v>
      </c>
      <c r="CV988" s="214" t="s">
        <v>2207</v>
      </c>
      <c r="CX988" s="212">
        <v>1</v>
      </c>
    </row>
    <row r="989" spans="91:102" ht="21" customHeight="1">
      <c r="CM989" s="210"/>
      <c r="CN989" s="213" t="s">
        <v>3317</v>
      </c>
      <c r="CO989" s="213" t="s">
        <v>896</v>
      </c>
      <c r="CP989" s="213" t="s">
        <v>879</v>
      </c>
      <c r="CQ989" s="213" t="s">
        <v>3318</v>
      </c>
      <c r="CR989" s="213" t="s">
        <v>3318</v>
      </c>
      <c r="CS989" s="213" t="s">
        <v>1620</v>
      </c>
      <c r="CT989" s="213" t="s">
        <v>1621</v>
      </c>
      <c r="CU989" s="213" t="s">
        <v>2206</v>
      </c>
      <c r="CV989" s="214" t="s">
        <v>2207</v>
      </c>
      <c r="CX989" s="212">
        <v>1</v>
      </c>
    </row>
    <row r="990" spans="91:102" ht="21" customHeight="1">
      <c r="CM990" s="210"/>
      <c r="CN990" s="213" t="s">
        <v>3319</v>
      </c>
      <c r="CO990" s="213" t="s">
        <v>896</v>
      </c>
      <c r="CP990" s="213" t="s">
        <v>879</v>
      </c>
      <c r="CQ990" s="213" t="s">
        <v>3320</v>
      </c>
      <c r="CR990" s="213" t="s">
        <v>3320</v>
      </c>
      <c r="CS990" s="213" t="s">
        <v>1620</v>
      </c>
      <c r="CT990" s="213" t="s">
        <v>1621</v>
      </c>
      <c r="CU990" s="213" t="s">
        <v>2206</v>
      </c>
      <c r="CV990" s="214" t="s">
        <v>2207</v>
      </c>
      <c r="CX990" s="212">
        <v>1</v>
      </c>
    </row>
    <row r="991" spans="91:102" ht="21" customHeight="1">
      <c r="CM991" s="210"/>
      <c r="CN991" s="213" t="s">
        <v>3321</v>
      </c>
      <c r="CO991" s="213" t="s">
        <v>896</v>
      </c>
      <c r="CP991" s="213" t="s">
        <v>879</v>
      </c>
      <c r="CQ991" s="213" t="s">
        <v>3322</v>
      </c>
      <c r="CR991" s="213" t="s">
        <v>3322</v>
      </c>
      <c r="CS991" s="213" t="s">
        <v>1620</v>
      </c>
      <c r="CT991" s="213" t="s">
        <v>1621</v>
      </c>
      <c r="CU991" s="213" t="s">
        <v>2206</v>
      </c>
      <c r="CV991" s="214" t="s">
        <v>2207</v>
      </c>
      <c r="CX991" s="212">
        <v>1</v>
      </c>
    </row>
    <row r="992" spans="91:102" ht="21" customHeight="1">
      <c r="CM992" s="210"/>
      <c r="CN992" s="213" t="s">
        <v>3323</v>
      </c>
      <c r="CO992" s="213" t="s">
        <v>896</v>
      </c>
      <c r="CP992" s="213" t="s">
        <v>879</v>
      </c>
      <c r="CQ992" s="213" t="s">
        <v>3324</v>
      </c>
      <c r="CR992" s="213" t="s">
        <v>3324</v>
      </c>
      <c r="CS992" s="213" t="s">
        <v>1620</v>
      </c>
      <c r="CT992" s="213" t="s">
        <v>1621</v>
      </c>
      <c r="CU992" s="213" t="s">
        <v>2206</v>
      </c>
      <c r="CV992" s="214" t="s">
        <v>2207</v>
      </c>
      <c r="CX992" s="212">
        <v>1</v>
      </c>
    </row>
    <row r="993" spans="91:102" ht="21" customHeight="1">
      <c r="CM993" s="210"/>
      <c r="CN993" s="213" t="s">
        <v>3325</v>
      </c>
      <c r="CO993" s="213" t="s">
        <v>896</v>
      </c>
      <c r="CP993" s="213" t="s">
        <v>879</v>
      </c>
      <c r="CQ993" s="213" t="s">
        <v>3326</v>
      </c>
      <c r="CR993" s="213" t="s">
        <v>3326</v>
      </c>
      <c r="CS993" s="213" t="s">
        <v>1620</v>
      </c>
      <c r="CT993" s="213" t="s">
        <v>1621</v>
      </c>
      <c r="CU993" s="213" t="s">
        <v>2206</v>
      </c>
      <c r="CV993" s="214" t="s">
        <v>2207</v>
      </c>
      <c r="CX993" s="212">
        <v>1</v>
      </c>
    </row>
    <row r="994" spans="91:102" ht="21" customHeight="1">
      <c r="CM994" s="210"/>
      <c r="CN994" s="213" t="s">
        <v>3327</v>
      </c>
      <c r="CO994" s="213" t="s">
        <v>896</v>
      </c>
      <c r="CP994" s="213" t="s">
        <v>879</v>
      </c>
      <c r="CQ994" s="213" t="s">
        <v>3328</v>
      </c>
      <c r="CR994" s="213" t="s">
        <v>3328</v>
      </c>
      <c r="CS994" s="213" t="s">
        <v>1620</v>
      </c>
      <c r="CT994" s="213" t="s">
        <v>1621</v>
      </c>
      <c r="CU994" s="213" t="s">
        <v>2206</v>
      </c>
      <c r="CV994" s="214" t="s">
        <v>2207</v>
      </c>
      <c r="CX994" s="212">
        <v>1</v>
      </c>
    </row>
    <row r="995" spans="91:102" ht="21" customHeight="1">
      <c r="CM995" s="210"/>
      <c r="CN995" s="213" t="s">
        <v>3329</v>
      </c>
      <c r="CO995" s="213" t="s">
        <v>896</v>
      </c>
      <c r="CP995" s="213" t="s">
        <v>879</v>
      </c>
      <c r="CQ995" s="213" t="s">
        <v>3330</v>
      </c>
      <c r="CR995" s="213" t="s">
        <v>3330</v>
      </c>
      <c r="CS995" s="213" t="s">
        <v>881</v>
      </c>
      <c r="CT995" s="213" t="s">
        <v>2289</v>
      </c>
      <c r="CU995" s="213" t="s">
        <v>883</v>
      </c>
      <c r="CV995" s="214" t="s">
        <v>884</v>
      </c>
      <c r="CX995" s="212">
        <v>1</v>
      </c>
    </row>
    <row r="996" spans="91:102" ht="21" customHeight="1">
      <c r="CM996" s="210"/>
      <c r="CN996" s="213" t="s">
        <v>3331</v>
      </c>
      <c r="CO996" s="213" t="s">
        <v>896</v>
      </c>
      <c r="CP996" s="213" t="s">
        <v>879</v>
      </c>
      <c r="CQ996" s="213" t="s">
        <v>3332</v>
      </c>
      <c r="CR996" s="213" t="s">
        <v>3332</v>
      </c>
      <c r="CS996" s="213" t="s">
        <v>1620</v>
      </c>
      <c r="CT996" s="213" t="s">
        <v>1621</v>
      </c>
      <c r="CU996" s="213" t="s">
        <v>2206</v>
      </c>
      <c r="CV996" s="214" t="s">
        <v>2207</v>
      </c>
      <c r="CX996" s="212">
        <v>1</v>
      </c>
    </row>
    <row r="997" spans="91:102" ht="21" customHeight="1">
      <c r="CM997" s="210"/>
      <c r="CN997" s="213" t="s">
        <v>3333</v>
      </c>
      <c r="CO997" s="213" t="s">
        <v>896</v>
      </c>
      <c r="CP997" s="213" t="s">
        <v>879</v>
      </c>
      <c r="CQ997" s="213" t="s">
        <v>3334</v>
      </c>
      <c r="CR997" s="213" t="s">
        <v>3334</v>
      </c>
      <c r="CS997" s="213" t="s">
        <v>1620</v>
      </c>
      <c r="CT997" s="213" t="s">
        <v>1621</v>
      </c>
      <c r="CU997" s="213" t="s">
        <v>2206</v>
      </c>
      <c r="CV997" s="214" t="s">
        <v>2207</v>
      </c>
      <c r="CX997" s="212">
        <v>1</v>
      </c>
    </row>
    <row r="998" spans="91:102" ht="21" customHeight="1">
      <c r="CM998" s="210"/>
      <c r="CN998" s="213" t="s">
        <v>3335</v>
      </c>
      <c r="CO998" s="213" t="s">
        <v>896</v>
      </c>
      <c r="CP998" s="213" t="s">
        <v>879</v>
      </c>
      <c r="CQ998" s="213" t="s">
        <v>3336</v>
      </c>
      <c r="CR998" s="213" t="s">
        <v>3336</v>
      </c>
      <c r="CS998" s="213" t="s">
        <v>1620</v>
      </c>
      <c r="CT998" s="213" t="s">
        <v>1621</v>
      </c>
      <c r="CU998" s="213" t="s">
        <v>2206</v>
      </c>
      <c r="CV998" s="214" t="s">
        <v>2207</v>
      </c>
      <c r="CX998" s="212">
        <v>1</v>
      </c>
    </row>
    <row r="999" spans="91:102" ht="21" customHeight="1">
      <c r="CM999" s="210"/>
      <c r="CN999" s="213" t="s">
        <v>3337</v>
      </c>
      <c r="CO999" s="213" t="s">
        <v>896</v>
      </c>
      <c r="CP999" s="213" t="s">
        <v>879</v>
      </c>
      <c r="CQ999" s="213" t="s">
        <v>3338</v>
      </c>
      <c r="CR999" s="213" t="s">
        <v>3338</v>
      </c>
      <c r="CS999" s="213" t="s">
        <v>1620</v>
      </c>
      <c r="CT999" s="213" t="s">
        <v>1621</v>
      </c>
      <c r="CU999" s="213" t="s">
        <v>2206</v>
      </c>
      <c r="CV999" s="214" t="s">
        <v>2207</v>
      </c>
      <c r="CX999" s="212">
        <v>1</v>
      </c>
    </row>
    <row r="1000" spans="91:102" ht="21" customHeight="1">
      <c r="CM1000" s="210"/>
      <c r="CN1000" s="213" t="s">
        <v>3339</v>
      </c>
      <c r="CO1000" s="213" t="s">
        <v>896</v>
      </c>
      <c r="CP1000" s="213" t="s">
        <v>879</v>
      </c>
      <c r="CQ1000" s="213" t="s">
        <v>3340</v>
      </c>
      <c r="CR1000" s="213" t="s">
        <v>3340</v>
      </c>
      <c r="CS1000" s="213" t="s">
        <v>1620</v>
      </c>
      <c r="CT1000" s="213" t="s">
        <v>1621</v>
      </c>
      <c r="CU1000" s="213" t="s">
        <v>2206</v>
      </c>
      <c r="CV1000" s="214" t="s">
        <v>2207</v>
      </c>
      <c r="CX1000" s="212">
        <v>1</v>
      </c>
    </row>
    <row r="1001" spans="91:102" ht="21" customHeight="1">
      <c r="CM1001" s="210"/>
      <c r="CN1001" s="213" t="s">
        <v>3341</v>
      </c>
      <c r="CO1001" s="213" t="s">
        <v>896</v>
      </c>
      <c r="CP1001" s="213" t="s">
        <v>879</v>
      </c>
      <c r="CQ1001" s="213" t="s">
        <v>3342</v>
      </c>
      <c r="CR1001" s="213" t="s">
        <v>3342</v>
      </c>
      <c r="CS1001" s="213" t="s">
        <v>881</v>
      </c>
      <c r="CT1001" s="213" t="s">
        <v>2289</v>
      </c>
      <c r="CU1001" s="213" t="s">
        <v>883</v>
      </c>
      <c r="CV1001" s="214" t="s">
        <v>884</v>
      </c>
      <c r="CX1001" s="212">
        <v>1</v>
      </c>
    </row>
    <row r="1002" spans="91:102" ht="21" customHeight="1">
      <c r="CM1002" s="210"/>
      <c r="CN1002" s="213" t="s">
        <v>3343</v>
      </c>
      <c r="CO1002" s="213" t="s">
        <v>896</v>
      </c>
      <c r="CP1002" s="213" t="s">
        <v>879</v>
      </c>
      <c r="CQ1002" s="213" t="s">
        <v>3344</v>
      </c>
      <c r="CR1002" s="213" t="s">
        <v>3345</v>
      </c>
      <c r="CS1002" s="213" t="s">
        <v>881</v>
      </c>
      <c r="CT1002" s="213" t="s">
        <v>2289</v>
      </c>
      <c r="CU1002" s="213" t="s">
        <v>883</v>
      </c>
      <c r="CV1002" s="214" t="s">
        <v>884</v>
      </c>
      <c r="CX1002" s="212">
        <v>1</v>
      </c>
    </row>
    <row r="1003" spans="91:102" ht="21" customHeight="1">
      <c r="CM1003" s="210"/>
      <c r="CN1003" s="213" t="s">
        <v>3346</v>
      </c>
      <c r="CO1003" s="213" t="s">
        <v>896</v>
      </c>
      <c r="CP1003" s="213" t="s">
        <v>879</v>
      </c>
      <c r="CQ1003" s="213" t="s">
        <v>3347</v>
      </c>
      <c r="CR1003" s="213" t="s">
        <v>3348</v>
      </c>
      <c r="CS1003" s="213" t="s">
        <v>881</v>
      </c>
      <c r="CT1003" s="213" t="s">
        <v>2289</v>
      </c>
      <c r="CU1003" s="213" t="s">
        <v>883</v>
      </c>
      <c r="CV1003" s="214" t="s">
        <v>884</v>
      </c>
      <c r="CX1003" s="212">
        <v>1</v>
      </c>
    </row>
    <row r="1004" spans="91:102" ht="21" customHeight="1">
      <c r="CM1004" s="210"/>
      <c r="CN1004" s="213" t="s">
        <v>3349</v>
      </c>
      <c r="CO1004" s="213" t="s">
        <v>896</v>
      </c>
      <c r="CP1004" s="213" t="s">
        <v>879</v>
      </c>
      <c r="CQ1004" s="213" t="s">
        <v>3350</v>
      </c>
      <c r="CR1004" s="213" t="s">
        <v>3351</v>
      </c>
      <c r="CS1004" s="213" t="s">
        <v>881</v>
      </c>
      <c r="CT1004" s="213" t="s">
        <v>2289</v>
      </c>
      <c r="CU1004" s="213" t="s">
        <v>883</v>
      </c>
      <c r="CV1004" s="214" t="s">
        <v>884</v>
      </c>
      <c r="CX1004" s="212">
        <v>1</v>
      </c>
    </row>
    <row r="1005" spans="91:102" ht="21" customHeight="1">
      <c r="CM1005" s="210"/>
      <c r="CN1005" s="213" t="s">
        <v>3352</v>
      </c>
      <c r="CO1005" s="213" t="s">
        <v>896</v>
      </c>
      <c r="CP1005" s="213" t="s">
        <v>879</v>
      </c>
      <c r="CQ1005" s="213" t="s">
        <v>3353</v>
      </c>
      <c r="CR1005" s="213" t="s">
        <v>3354</v>
      </c>
      <c r="CS1005" s="213" t="s">
        <v>881</v>
      </c>
      <c r="CT1005" s="213" t="s">
        <v>2289</v>
      </c>
      <c r="CU1005" s="213" t="s">
        <v>883</v>
      </c>
      <c r="CV1005" s="214" t="s">
        <v>884</v>
      </c>
      <c r="CX1005" s="212">
        <v>1</v>
      </c>
    </row>
    <row r="1006" spans="91:102" ht="21" customHeight="1">
      <c r="CM1006" s="210"/>
      <c r="CN1006" s="213" t="s">
        <v>3355</v>
      </c>
      <c r="CO1006" s="213" t="s">
        <v>896</v>
      </c>
      <c r="CP1006" s="213" t="s">
        <v>879</v>
      </c>
      <c r="CQ1006" s="213" t="s">
        <v>3356</v>
      </c>
      <c r="CR1006" s="213" t="s">
        <v>3356</v>
      </c>
      <c r="CS1006" s="213" t="s">
        <v>1620</v>
      </c>
      <c r="CT1006" s="213" t="s">
        <v>1621</v>
      </c>
      <c r="CU1006" s="213" t="s">
        <v>2206</v>
      </c>
      <c r="CV1006" s="214" t="s">
        <v>2207</v>
      </c>
      <c r="CX1006" s="212">
        <v>1</v>
      </c>
    </row>
    <row r="1007" spans="91:102" ht="21" customHeight="1">
      <c r="CM1007" s="210"/>
      <c r="CN1007" s="213" t="s">
        <v>3357</v>
      </c>
      <c r="CO1007" s="213" t="s">
        <v>896</v>
      </c>
      <c r="CP1007" s="213" t="s">
        <v>879</v>
      </c>
      <c r="CQ1007" s="213" t="s">
        <v>3358</v>
      </c>
      <c r="CR1007" s="213" t="s">
        <v>3358</v>
      </c>
      <c r="CS1007" s="213" t="s">
        <v>1620</v>
      </c>
      <c r="CT1007" s="213" t="s">
        <v>1621</v>
      </c>
      <c r="CU1007" s="213" t="s">
        <v>2206</v>
      </c>
      <c r="CV1007" s="214" t="s">
        <v>2207</v>
      </c>
      <c r="CX1007" s="212">
        <v>1</v>
      </c>
    </row>
    <row r="1008" spans="91:102" ht="21" customHeight="1">
      <c r="CM1008" s="210"/>
      <c r="CN1008" s="213" t="s">
        <v>3359</v>
      </c>
      <c r="CO1008" s="213" t="s">
        <v>896</v>
      </c>
      <c r="CP1008" s="213" t="s">
        <v>879</v>
      </c>
      <c r="CQ1008" s="213" t="s">
        <v>3360</v>
      </c>
      <c r="CR1008" s="213" t="s">
        <v>3360</v>
      </c>
      <c r="CS1008" s="213" t="s">
        <v>1620</v>
      </c>
      <c r="CT1008" s="213" t="s">
        <v>1621</v>
      </c>
      <c r="CU1008" s="213" t="s">
        <v>2206</v>
      </c>
      <c r="CV1008" s="214" t="s">
        <v>2207</v>
      </c>
      <c r="CX1008" s="212">
        <v>1</v>
      </c>
    </row>
    <row r="1009" spans="91:102" ht="21" customHeight="1">
      <c r="CM1009" s="210"/>
      <c r="CN1009" s="213" t="s">
        <v>3361</v>
      </c>
      <c r="CO1009" s="213" t="s">
        <v>896</v>
      </c>
      <c r="CP1009" s="213" t="s">
        <v>879</v>
      </c>
      <c r="CQ1009" s="213" t="s">
        <v>3362</v>
      </c>
      <c r="CR1009" s="213" t="s">
        <v>3362</v>
      </c>
      <c r="CS1009" s="213" t="s">
        <v>1620</v>
      </c>
      <c r="CT1009" s="213" t="s">
        <v>1621</v>
      </c>
      <c r="CU1009" s="213" t="s">
        <v>2206</v>
      </c>
      <c r="CV1009" s="214" t="s">
        <v>2207</v>
      </c>
      <c r="CX1009" s="212">
        <v>1</v>
      </c>
    </row>
    <row r="1010" spans="91:102" ht="21" customHeight="1">
      <c r="CM1010" s="210"/>
      <c r="CN1010" s="213" t="s">
        <v>3363</v>
      </c>
      <c r="CO1010" s="213" t="s">
        <v>896</v>
      </c>
      <c r="CP1010" s="213" t="s">
        <v>879</v>
      </c>
      <c r="CQ1010" s="213" t="s">
        <v>3364</v>
      </c>
      <c r="CR1010" s="213" t="s">
        <v>3364</v>
      </c>
      <c r="CS1010" s="213" t="s">
        <v>1620</v>
      </c>
      <c r="CT1010" s="213" t="s">
        <v>1621</v>
      </c>
      <c r="CU1010" s="213" t="s">
        <v>2206</v>
      </c>
      <c r="CV1010" s="214" t="s">
        <v>2207</v>
      </c>
      <c r="CX1010" s="212">
        <v>1</v>
      </c>
    </row>
    <row r="1011" spans="91:102" ht="21" customHeight="1">
      <c r="CM1011" s="210"/>
      <c r="CN1011" s="213" t="s">
        <v>3365</v>
      </c>
      <c r="CO1011" s="213" t="s">
        <v>896</v>
      </c>
      <c r="CP1011" s="213" t="s">
        <v>879</v>
      </c>
      <c r="CQ1011" s="213" t="s">
        <v>3366</v>
      </c>
      <c r="CR1011" s="213" t="s">
        <v>3366</v>
      </c>
      <c r="CS1011" s="213" t="s">
        <v>1620</v>
      </c>
      <c r="CT1011" s="213" t="s">
        <v>1621</v>
      </c>
      <c r="CU1011" s="213" t="s">
        <v>2206</v>
      </c>
      <c r="CV1011" s="214" t="s">
        <v>2207</v>
      </c>
      <c r="CX1011" s="212">
        <v>1</v>
      </c>
    </row>
    <row r="1012" spans="91:102" ht="21" customHeight="1">
      <c r="CM1012" s="210"/>
      <c r="CN1012" s="213" t="s">
        <v>3367</v>
      </c>
      <c r="CO1012" s="213" t="s">
        <v>896</v>
      </c>
      <c r="CP1012" s="213" t="s">
        <v>879</v>
      </c>
      <c r="CQ1012" s="213" t="s">
        <v>3368</v>
      </c>
      <c r="CR1012" s="213" t="s">
        <v>3368</v>
      </c>
      <c r="CS1012" s="213" t="s">
        <v>1620</v>
      </c>
      <c r="CT1012" s="213" t="s">
        <v>1621</v>
      </c>
      <c r="CU1012" s="213" t="s">
        <v>2206</v>
      </c>
      <c r="CV1012" s="214" t="s">
        <v>2207</v>
      </c>
      <c r="CX1012" s="212">
        <v>1</v>
      </c>
    </row>
    <row r="1013" spans="91:102" ht="21" customHeight="1">
      <c r="CM1013" s="210"/>
      <c r="CN1013" s="213" t="s">
        <v>3369</v>
      </c>
      <c r="CO1013" s="213" t="s">
        <v>896</v>
      </c>
      <c r="CP1013" s="213" t="s">
        <v>879</v>
      </c>
      <c r="CQ1013" s="213" t="s">
        <v>3370</v>
      </c>
      <c r="CR1013" s="213" t="s">
        <v>3370</v>
      </c>
      <c r="CS1013" s="213" t="s">
        <v>1620</v>
      </c>
      <c r="CT1013" s="213" t="s">
        <v>1621</v>
      </c>
      <c r="CU1013" s="213" t="s">
        <v>2206</v>
      </c>
      <c r="CV1013" s="214" t="s">
        <v>2207</v>
      </c>
      <c r="CX1013" s="212">
        <v>1</v>
      </c>
    </row>
    <row r="1014" spans="91:102" ht="21" customHeight="1">
      <c r="CM1014" s="210"/>
      <c r="CN1014" s="213" t="s">
        <v>3371</v>
      </c>
      <c r="CO1014" s="213" t="s">
        <v>896</v>
      </c>
      <c r="CP1014" s="213" t="s">
        <v>879</v>
      </c>
      <c r="CQ1014" s="213" t="s">
        <v>3372</v>
      </c>
      <c r="CR1014" s="213" t="s">
        <v>3372</v>
      </c>
      <c r="CS1014" s="213" t="s">
        <v>1620</v>
      </c>
      <c r="CT1014" s="213" t="s">
        <v>1621</v>
      </c>
      <c r="CU1014" s="213" t="s">
        <v>2206</v>
      </c>
      <c r="CV1014" s="214" t="s">
        <v>2207</v>
      </c>
      <c r="CX1014" s="212">
        <v>1</v>
      </c>
    </row>
    <row r="1015" spans="91:102" ht="21" customHeight="1">
      <c r="CM1015" s="210"/>
      <c r="CN1015" s="213" t="s">
        <v>3373</v>
      </c>
      <c r="CO1015" s="213" t="s">
        <v>896</v>
      </c>
      <c r="CP1015" s="213" t="s">
        <v>879</v>
      </c>
      <c r="CQ1015" s="213" t="s">
        <v>3374</v>
      </c>
      <c r="CR1015" s="213" t="s">
        <v>3374</v>
      </c>
      <c r="CS1015" s="213" t="s">
        <v>1620</v>
      </c>
      <c r="CT1015" s="213" t="s">
        <v>1621</v>
      </c>
      <c r="CU1015" s="213" t="s">
        <v>2206</v>
      </c>
      <c r="CV1015" s="214" t="s">
        <v>2207</v>
      </c>
      <c r="CX1015" s="212">
        <v>1</v>
      </c>
    </row>
    <row r="1016" spans="91:102" ht="21" customHeight="1">
      <c r="CM1016" s="210"/>
      <c r="CN1016" s="213" t="s">
        <v>3375</v>
      </c>
      <c r="CO1016" s="213" t="s">
        <v>896</v>
      </c>
      <c r="CP1016" s="213" t="s">
        <v>879</v>
      </c>
      <c r="CQ1016" s="213" t="s">
        <v>3376</v>
      </c>
      <c r="CR1016" s="213" t="s">
        <v>3376</v>
      </c>
      <c r="CS1016" s="213" t="s">
        <v>1620</v>
      </c>
      <c r="CT1016" s="213" t="s">
        <v>1621</v>
      </c>
      <c r="CU1016" s="213" t="s">
        <v>2206</v>
      </c>
      <c r="CV1016" s="214" t="s">
        <v>2207</v>
      </c>
      <c r="CX1016" s="212">
        <v>1</v>
      </c>
    </row>
    <row r="1017" spans="91:102" ht="21" customHeight="1">
      <c r="CM1017" s="210"/>
      <c r="CN1017" s="213" t="s">
        <v>3377</v>
      </c>
      <c r="CO1017" s="213" t="s">
        <v>896</v>
      </c>
      <c r="CP1017" s="213" t="s">
        <v>879</v>
      </c>
      <c r="CQ1017" s="213" t="s">
        <v>3378</v>
      </c>
      <c r="CR1017" s="213" t="s">
        <v>3378</v>
      </c>
      <c r="CS1017" s="213" t="s">
        <v>1620</v>
      </c>
      <c r="CT1017" s="213" t="s">
        <v>1621</v>
      </c>
      <c r="CU1017" s="213" t="s">
        <v>2206</v>
      </c>
      <c r="CV1017" s="214" t="s">
        <v>2207</v>
      </c>
      <c r="CX1017" s="212">
        <v>1</v>
      </c>
    </row>
    <row r="1018" spans="91:102" ht="21" customHeight="1">
      <c r="CM1018" s="210"/>
      <c r="CN1018" s="213" t="s">
        <v>3379</v>
      </c>
      <c r="CO1018" s="213" t="s">
        <v>896</v>
      </c>
      <c r="CP1018" s="213" t="s">
        <v>879</v>
      </c>
      <c r="CQ1018" s="213" t="s">
        <v>3380</v>
      </c>
      <c r="CR1018" s="213" t="s">
        <v>3380</v>
      </c>
      <c r="CS1018" s="213" t="s">
        <v>1620</v>
      </c>
      <c r="CT1018" s="213" t="s">
        <v>1621</v>
      </c>
      <c r="CU1018" s="213" t="s">
        <v>2206</v>
      </c>
      <c r="CV1018" s="214" t="s">
        <v>2207</v>
      </c>
      <c r="CX1018" s="212">
        <v>1</v>
      </c>
    </row>
    <row r="1019" spans="91:102" ht="21" customHeight="1">
      <c r="CM1019" s="210"/>
      <c r="CN1019" s="213" t="s">
        <v>3381</v>
      </c>
      <c r="CO1019" s="213" t="s">
        <v>896</v>
      </c>
      <c r="CP1019" s="213" t="s">
        <v>879</v>
      </c>
      <c r="CQ1019" s="213" t="s">
        <v>3382</v>
      </c>
      <c r="CR1019" s="213" t="s">
        <v>3382</v>
      </c>
      <c r="CS1019" s="213" t="s">
        <v>1620</v>
      </c>
      <c r="CT1019" s="213" t="s">
        <v>1621</v>
      </c>
      <c r="CU1019" s="213" t="s">
        <v>2206</v>
      </c>
      <c r="CV1019" s="214" t="s">
        <v>2207</v>
      </c>
      <c r="CX1019" s="212">
        <v>1</v>
      </c>
    </row>
    <row r="1020" spans="91:102" ht="21" customHeight="1">
      <c r="CM1020" s="210"/>
      <c r="CN1020" s="213" t="s">
        <v>3383</v>
      </c>
      <c r="CO1020" s="213" t="s">
        <v>896</v>
      </c>
      <c r="CP1020" s="213" t="s">
        <v>879</v>
      </c>
      <c r="CQ1020" s="213" t="s">
        <v>3384</v>
      </c>
      <c r="CR1020" s="213" t="s">
        <v>3384</v>
      </c>
      <c r="CS1020" s="213" t="s">
        <v>1620</v>
      </c>
      <c r="CT1020" s="213" t="s">
        <v>1621</v>
      </c>
      <c r="CU1020" s="213" t="s">
        <v>2206</v>
      </c>
      <c r="CV1020" s="214" t="s">
        <v>2207</v>
      </c>
      <c r="CX1020" s="212">
        <v>1</v>
      </c>
    </row>
    <row r="1021" spans="91:102" ht="21" customHeight="1">
      <c r="CM1021" s="210"/>
      <c r="CN1021" s="213" t="s">
        <v>3385</v>
      </c>
      <c r="CO1021" s="213" t="s">
        <v>896</v>
      </c>
      <c r="CP1021" s="213" t="s">
        <v>879</v>
      </c>
      <c r="CQ1021" s="213" t="s">
        <v>3386</v>
      </c>
      <c r="CR1021" s="213" t="s">
        <v>3386</v>
      </c>
      <c r="CS1021" s="213" t="s">
        <v>1620</v>
      </c>
      <c r="CT1021" s="213" t="s">
        <v>1621</v>
      </c>
      <c r="CU1021" s="213" t="s">
        <v>2206</v>
      </c>
      <c r="CV1021" s="214" t="s">
        <v>2207</v>
      </c>
      <c r="CX1021" s="212">
        <v>1</v>
      </c>
    </row>
    <row r="1022" spans="91:102" ht="21" customHeight="1">
      <c r="CM1022" s="210"/>
      <c r="CN1022" s="213" t="s">
        <v>3387</v>
      </c>
      <c r="CO1022" s="213" t="s">
        <v>896</v>
      </c>
      <c r="CP1022" s="213" t="s">
        <v>879</v>
      </c>
      <c r="CQ1022" s="213" t="s">
        <v>3388</v>
      </c>
      <c r="CR1022" s="213" t="s">
        <v>3388</v>
      </c>
      <c r="CS1022" s="213" t="s">
        <v>1620</v>
      </c>
      <c r="CT1022" s="213" t="s">
        <v>1621</v>
      </c>
      <c r="CU1022" s="213" t="s">
        <v>2206</v>
      </c>
      <c r="CV1022" s="214" t="s">
        <v>2207</v>
      </c>
      <c r="CX1022" s="212">
        <v>1</v>
      </c>
    </row>
    <row r="1023" spans="91:102" ht="21" customHeight="1">
      <c r="CM1023" s="210"/>
      <c r="CN1023" s="213" t="s">
        <v>3389</v>
      </c>
      <c r="CO1023" s="213" t="s">
        <v>896</v>
      </c>
      <c r="CP1023" s="213" t="s">
        <v>879</v>
      </c>
      <c r="CQ1023" s="213" t="s">
        <v>3390</v>
      </c>
      <c r="CR1023" s="213" t="s">
        <v>3390</v>
      </c>
      <c r="CS1023" s="213" t="s">
        <v>1620</v>
      </c>
      <c r="CT1023" s="213" t="s">
        <v>1621</v>
      </c>
      <c r="CU1023" s="213" t="s">
        <v>2206</v>
      </c>
      <c r="CV1023" s="214" t="s">
        <v>2207</v>
      </c>
      <c r="CX1023" s="212">
        <v>1</v>
      </c>
    </row>
    <row r="1024" spans="91:102" ht="21" customHeight="1">
      <c r="CM1024" s="210"/>
      <c r="CN1024" s="213" t="s">
        <v>3391</v>
      </c>
      <c r="CO1024" s="213" t="s">
        <v>896</v>
      </c>
      <c r="CP1024" s="213" t="s">
        <v>879</v>
      </c>
      <c r="CQ1024" s="213" t="s">
        <v>3392</v>
      </c>
      <c r="CR1024" s="213" t="s">
        <v>3392</v>
      </c>
      <c r="CS1024" s="213" t="s">
        <v>1620</v>
      </c>
      <c r="CT1024" s="213" t="s">
        <v>1621</v>
      </c>
      <c r="CU1024" s="213" t="s">
        <v>2206</v>
      </c>
      <c r="CV1024" s="214" t="s">
        <v>2207</v>
      </c>
      <c r="CX1024" s="212">
        <v>1</v>
      </c>
    </row>
    <row r="1025" spans="91:102" ht="21" customHeight="1">
      <c r="CM1025" s="210"/>
      <c r="CN1025" s="213" t="s">
        <v>3393</v>
      </c>
      <c r="CO1025" s="213" t="s">
        <v>896</v>
      </c>
      <c r="CP1025" s="213" t="s">
        <v>879</v>
      </c>
      <c r="CQ1025" s="213" t="s">
        <v>3394</v>
      </c>
      <c r="CR1025" s="213" t="s">
        <v>3394</v>
      </c>
      <c r="CS1025" s="213" t="s">
        <v>1620</v>
      </c>
      <c r="CT1025" s="213" t="s">
        <v>1621</v>
      </c>
      <c r="CU1025" s="213" t="s">
        <v>2206</v>
      </c>
      <c r="CV1025" s="214" t="s">
        <v>2207</v>
      </c>
      <c r="CX1025" s="212">
        <v>1</v>
      </c>
    </row>
    <row r="1026" spans="91:102" ht="21" customHeight="1">
      <c r="CM1026" s="210"/>
      <c r="CN1026" s="213" t="s">
        <v>3395</v>
      </c>
      <c r="CO1026" s="213" t="s">
        <v>896</v>
      </c>
      <c r="CP1026" s="213" t="s">
        <v>879</v>
      </c>
      <c r="CQ1026" s="213" t="s">
        <v>3396</v>
      </c>
      <c r="CR1026" s="213" t="s">
        <v>3396</v>
      </c>
      <c r="CS1026" s="213" t="s">
        <v>1620</v>
      </c>
      <c r="CT1026" s="213" t="s">
        <v>1621</v>
      </c>
      <c r="CU1026" s="213" t="s">
        <v>2206</v>
      </c>
      <c r="CV1026" s="214" t="s">
        <v>2207</v>
      </c>
      <c r="CX1026" s="212">
        <v>1</v>
      </c>
    </row>
    <row r="1027" spans="91:102" ht="21" customHeight="1">
      <c r="CM1027" s="210"/>
      <c r="CN1027" s="213" t="s">
        <v>3397</v>
      </c>
      <c r="CO1027" s="213" t="s">
        <v>896</v>
      </c>
      <c r="CP1027" s="213" t="s">
        <v>879</v>
      </c>
      <c r="CQ1027" s="213" t="s">
        <v>3398</v>
      </c>
      <c r="CR1027" s="213" t="s">
        <v>3398</v>
      </c>
      <c r="CS1027" s="213" t="s">
        <v>1620</v>
      </c>
      <c r="CT1027" s="213" t="s">
        <v>1621</v>
      </c>
      <c r="CU1027" s="213" t="s">
        <v>2206</v>
      </c>
      <c r="CV1027" s="214" t="s">
        <v>2207</v>
      </c>
      <c r="CX1027" s="212">
        <v>1</v>
      </c>
    </row>
    <row r="1028" spans="91:102" ht="21" customHeight="1">
      <c r="CM1028" s="210"/>
      <c r="CN1028" s="213" t="s">
        <v>3399</v>
      </c>
      <c r="CO1028" s="213" t="s">
        <v>896</v>
      </c>
      <c r="CP1028" s="213" t="s">
        <v>879</v>
      </c>
      <c r="CQ1028" s="213" t="s">
        <v>3400</v>
      </c>
      <c r="CR1028" s="213" t="s">
        <v>3400</v>
      </c>
      <c r="CS1028" s="213" t="s">
        <v>1620</v>
      </c>
      <c r="CT1028" s="213" t="s">
        <v>1621</v>
      </c>
      <c r="CU1028" s="213" t="s">
        <v>2206</v>
      </c>
      <c r="CV1028" s="214" t="s">
        <v>2207</v>
      </c>
      <c r="CX1028" s="212">
        <v>1</v>
      </c>
    </row>
    <row r="1029" spans="91:102" ht="21" customHeight="1">
      <c r="CM1029" s="210"/>
      <c r="CN1029" s="213" t="s">
        <v>3401</v>
      </c>
      <c r="CO1029" s="213" t="s">
        <v>896</v>
      </c>
      <c r="CP1029" s="213" t="s">
        <v>879</v>
      </c>
      <c r="CQ1029" s="213" t="s">
        <v>3402</v>
      </c>
      <c r="CR1029" s="213" t="s">
        <v>3402</v>
      </c>
      <c r="CS1029" s="213" t="s">
        <v>1620</v>
      </c>
      <c r="CT1029" s="213" t="s">
        <v>1621</v>
      </c>
      <c r="CU1029" s="213" t="s">
        <v>2206</v>
      </c>
      <c r="CV1029" s="214" t="s">
        <v>2207</v>
      </c>
      <c r="CX1029" s="212">
        <v>1</v>
      </c>
    </row>
    <row r="1030" spans="91:102" ht="21" customHeight="1">
      <c r="CM1030" s="210"/>
      <c r="CN1030" s="213" t="s">
        <v>3403</v>
      </c>
      <c r="CO1030" s="213" t="s">
        <v>896</v>
      </c>
      <c r="CP1030" s="213" t="s">
        <v>879</v>
      </c>
      <c r="CQ1030" s="213" t="s">
        <v>3404</v>
      </c>
      <c r="CR1030" s="213" t="s">
        <v>3404</v>
      </c>
      <c r="CS1030" s="213" t="s">
        <v>1620</v>
      </c>
      <c r="CT1030" s="213" t="s">
        <v>1621</v>
      </c>
      <c r="CU1030" s="213" t="s">
        <v>2206</v>
      </c>
      <c r="CV1030" s="214" t="s">
        <v>2207</v>
      </c>
      <c r="CX1030" s="212">
        <v>1</v>
      </c>
    </row>
    <row r="1031" spans="91:102" ht="21" customHeight="1">
      <c r="CM1031" s="210"/>
      <c r="CN1031" s="213" t="s">
        <v>3405</v>
      </c>
      <c r="CO1031" s="213" t="s">
        <v>896</v>
      </c>
      <c r="CP1031" s="213" t="s">
        <v>879</v>
      </c>
      <c r="CQ1031" s="213" t="s">
        <v>3406</v>
      </c>
      <c r="CR1031" s="213" t="s">
        <v>3406</v>
      </c>
      <c r="CS1031" s="213" t="s">
        <v>1620</v>
      </c>
      <c r="CT1031" s="213" t="s">
        <v>1621</v>
      </c>
      <c r="CU1031" s="213" t="s">
        <v>2206</v>
      </c>
      <c r="CV1031" s="214" t="s">
        <v>2207</v>
      </c>
      <c r="CX1031" s="212">
        <v>1</v>
      </c>
    </row>
    <row r="1032" spans="91:102" ht="21" customHeight="1">
      <c r="CM1032" s="210"/>
      <c r="CN1032" s="213" t="s">
        <v>3407</v>
      </c>
      <c r="CO1032" s="213" t="s">
        <v>896</v>
      </c>
      <c r="CP1032" s="213" t="s">
        <v>879</v>
      </c>
      <c r="CQ1032" s="213" t="s">
        <v>3408</v>
      </c>
      <c r="CR1032" s="213" t="s">
        <v>3408</v>
      </c>
      <c r="CS1032" s="213" t="s">
        <v>1620</v>
      </c>
      <c r="CT1032" s="213" t="s">
        <v>1621</v>
      </c>
      <c r="CU1032" s="213" t="s">
        <v>2206</v>
      </c>
      <c r="CV1032" s="214" t="s">
        <v>2207</v>
      </c>
      <c r="CX1032" s="212">
        <v>1</v>
      </c>
    </row>
    <row r="1033" spans="91:102" ht="21" customHeight="1">
      <c r="CM1033" s="210"/>
      <c r="CN1033" s="213" t="s">
        <v>3409</v>
      </c>
      <c r="CO1033" s="213" t="s">
        <v>896</v>
      </c>
      <c r="CP1033" s="213" t="s">
        <v>879</v>
      </c>
      <c r="CQ1033" s="213" t="s">
        <v>3410</v>
      </c>
      <c r="CR1033" s="213" t="s">
        <v>3410</v>
      </c>
      <c r="CS1033" s="213" t="s">
        <v>1620</v>
      </c>
      <c r="CT1033" s="213" t="s">
        <v>1621</v>
      </c>
      <c r="CU1033" s="213" t="s">
        <v>2206</v>
      </c>
      <c r="CV1033" s="214" t="s">
        <v>2207</v>
      </c>
      <c r="CX1033" s="212">
        <v>1</v>
      </c>
    </row>
    <row r="1034" spans="91:102" ht="21" customHeight="1">
      <c r="CM1034" s="210"/>
      <c r="CN1034" s="213" t="s">
        <v>3411</v>
      </c>
      <c r="CO1034" s="213" t="s">
        <v>896</v>
      </c>
      <c r="CP1034" s="213" t="s">
        <v>879</v>
      </c>
      <c r="CQ1034" s="213" t="s">
        <v>3412</v>
      </c>
      <c r="CR1034" s="213" t="s">
        <v>3412</v>
      </c>
      <c r="CS1034" s="213" t="s">
        <v>1620</v>
      </c>
      <c r="CT1034" s="213" t="s">
        <v>1621</v>
      </c>
      <c r="CU1034" s="213" t="s">
        <v>2206</v>
      </c>
      <c r="CV1034" s="214" t="s">
        <v>2207</v>
      </c>
      <c r="CX1034" s="212">
        <v>1</v>
      </c>
    </row>
    <row r="1035" spans="91:102" ht="21" customHeight="1">
      <c r="CM1035" s="210"/>
      <c r="CN1035" s="213" t="s">
        <v>3413</v>
      </c>
      <c r="CO1035" s="213" t="s">
        <v>896</v>
      </c>
      <c r="CP1035" s="213" t="s">
        <v>879</v>
      </c>
      <c r="CQ1035" s="213" t="s">
        <v>3414</v>
      </c>
      <c r="CR1035" s="213" t="s">
        <v>3414</v>
      </c>
      <c r="CS1035" s="213" t="s">
        <v>1620</v>
      </c>
      <c r="CT1035" s="213" t="s">
        <v>1621</v>
      </c>
      <c r="CU1035" s="213" t="s">
        <v>2206</v>
      </c>
      <c r="CV1035" s="214" t="s">
        <v>2207</v>
      </c>
      <c r="CX1035" s="212">
        <v>1</v>
      </c>
    </row>
    <row r="1036" spans="91:102" ht="21" customHeight="1">
      <c r="CM1036" s="210"/>
      <c r="CN1036" s="213" t="s">
        <v>3415</v>
      </c>
      <c r="CO1036" s="213" t="s">
        <v>896</v>
      </c>
      <c r="CP1036" s="213" t="s">
        <v>879</v>
      </c>
      <c r="CQ1036" s="213" t="s">
        <v>3416</v>
      </c>
      <c r="CR1036" s="213" t="s">
        <v>3416</v>
      </c>
      <c r="CS1036" s="213" t="s">
        <v>1620</v>
      </c>
      <c r="CT1036" s="213" t="s">
        <v>1621</v>
      </c>
      <c r="CU1036" s="213" t="s">
        <v>2206</v>
      </c>
      <c r="CV1036" s="214" t="s">
        <v>2207</v>
      </c>
      <c r="CX1036" s="212">
        <v>1</v>
      </c>
    </row>
    <row r="1037" spans="91:102" ht="21" customHeight="1">
      <c r="CM1037" s="210"/>
      <c r="CN1037" s="213" t="s">
        <v>3417</v>
      </c>
      <c r="CO1037" s="213" t="s">
        <v>896</v>
      </c>
      <c r="CP1037" s="213" t="s">
        <v>879</v>
      </c>
      <c r="CQ1037" s="213" t="s">
        <v>3418</v>
      </c>
      <c r="CR1037" s="213" t="s">
        <v>3418</v>
      </c>
      <c r="CS1037" s="213" t="s">
        <v>1620</v>
      </c>
      <c r="CT1037" s="213" t="s">
        <v>1621</v>
      </c>
      <c r="CU1037" s="213" t="s">
        <v>2206</v>
      </c>
      <c r="CV1037" s="214" t="s">
        <v>2207</v>
      </c>
      <c r="CX1037" s="212">
        <v>1</v>
      </c>
    </row>
    <row r="1038" spans="91:102" ht="21" customHeight="1">
      <c r="CM1038" s="210"/>
      <c r="CN1038" s="213" t="s">
        <v>3419</v>
      </c>
      <c r="CO1038" s="213" t="s">
        <v>896</v>
      </c>
      <c r="CP1038" s="213" t="s">
        <v>879</v>
      </c>
      <c r="CQ1038" s="213" t="s">
        <v>3420</v>
      </c>
      <c r="CR1038" s="213" t="s">
        <v>3420</v>
      </c>
      <c r="CS1038" s="213" t="s">
        <v>1620</v>
      </c>
      <c r="CT1038" s="213" t="s">
        <v>1621</v>
      </c>
      <c r="CU1038" s="213" t="s">
        <v>2206</v>
      </c>
      <c r="CV1038" s="214" t="s">
        <v>2207</v>
      </c>
      <c r="CX1038" s="212">
        <v>1</v>
      </c>
    </row>
    <row r="1039" spans="91:102" ht="21" customHeight="1">
      <c r="CM1039" s="210"/>
      <c r="CN1039" s="213" t="s">
        <v>3421</v>
      </c>
      <c r="CO1039" s="213" t="s">
        <v>896</v>
      </c>
      <c r="CP1039" s="213" t="s">
        <v>879</v>
      </c>
      <c r="CQ1039" s="213" t="s">
        <v>3422</v>
      </c>
      <c r="CR1039" s="213" t="s">
        <v>3422</v>
      </c>
      <c r="CS1039" s="213" t="s">
        <v>1620</v>
      </c>
      <c r="CT1039" s="213" t="s">
        <v>1621</v>
      </c>
      <c r="CU1039" s="213" t="s">
        <v>2206</v>
      </c>
      <c r="CV1039" s="214" t="s">
        <v>2207</v>
      </c>
      <c r="CX1039" s="212">
        <v>1</v>
      </c>
    </row>
    <row r="1040" spans="91:102" ht="21" customHeight="1">
      <c r="CM1040" s="210"/>
      <c r="CN1040" s="213" t="s">
        <v>3423</v>
      </c>
      <c r="CO1040" s="213" t="s">
        <v>896</v>
      </c>
      <c r="CP1040" s="213" t="s">
        <v>879</v>
      </c>
      <c r="CQ1040" s="213" t="s">
        <v>3424</v>
      </c>
      <c r="CR1040" s="213" t="s">
        <v>3424</v>
      </c>
      <c r="CS1040" s="213" t="s">
        <v>1620</v>
      </c>
      <c r="CT1040" s="213" t="s">
        <v>1621</v>
      </c>
      <c r="CU1040" s="213" t="s">
        <v>2206</v>
      </c>
      <c r="CV1040" s="214" t="s">
        <v>2207</v>
      </c>
      <c r="CX1040" s="212">
        <v>1</v>
      </c>
    </row>
    <row r="1041" spans="91:102" ht="21" customHeight="1">
      <c r="CM1041" s="210"/>
      <c r="CN1041" s="213" t="s">
        <v>3425</v>
      </c>
      <c r="CO1041" s="213" t="s">
        <v>896</v>
      </c>
      <c r="CP1041" s="213" t="s">
        <v>879</v>
      </c>
      <c r="CQ1041" s="213" t="s">
        <v>3426</v>
      </c>
      <c r="CR1041" s="213" t="s">
        <v>3426</v>
      </c>
      <c r="CS1041" s="213" t="s">
        <v>1620</v>
      </c>
      <c r="CT1041" s="213" t="s">
        <v>1621</v>
      </c>
      <c r="CU1041" s="213" t="s">
        <v>2206</v>
      </c>
      <c r="CV1041" s="214" t="s">
        <v>2207</v>
      </c>
      <c r="CX1041" s="212">
        <v>1</v>
      </c>
    </row>
    <row r="1042" spans="91:102" ht="21" customHeight="1">
      <c r="CM1042" s="210"/>
      <c r="CN1042" s="213" t="s">
        <v>3427</v>
      </c>
      <c r="CO1042" s="213" t="s">
        <v>896</v>
      </c>
      <c r="CP1042" s="213" t="s">
        <v>879</v>
      </c>
      <c r="CQ1042" s="213" t="s">
        <v>3428</v>
      </c>
      <c r="CR1042" s="213" t="s">
        <v>3428</v>
      </c>
      <c r="CS1042" s="213" t="s">
        <v>1620</v>
      </c>
      <c r="CT1042" s="213" t="s">
        <v>1621</v>
      </c>
      <c r="CU1042" s="213" t="s">
        <v>2206</v>
      </c>
      <c r="CV1042" s="214" t="s">
        <v>2207</v>
      </c>
      <c r="CX1042" s="212">
        <v>1</v>
      </c>
    </row>
    <row r="1043" spans="91:102" ht="21" customHeight="1">
      <c r="CM1043" s="210"/>
      <c r="CN1043" s="213" t="s">
        <v>3429</v>
      </c>
      <c r="CO1043" s="213" t="s">
        <v>896</v>
      </c>
      <c r="CP1043" s="213" t="s">
        <v>879</v>
      </c>
      <c r="CQ1043" s="213" t="s">
        <v>3430</v>
      </c>
      <c r="CR1043" s="213" t="s">
        <v>3430</v>
      </c>
      <c r="CS1043" s="213" t="s">
        <v>1620</v>
      </c>
      <c r="CT1043" s="213" t="s">
        <v>1621</v>
      </c>
      <c r="CU1043" s="213" t="s">
        <v>2206</v>
      </c>
      <c r="CV1043" s="214" t="s">
        <v>2207</v>
      </c>
      <c r="CX1043" s="212">
        <v>1</v>
      </c>
    </row>
    <row r="1044" spans="91:102" ht="21" customHeight="1">
      <c r="CM1044" s="210"/>
      <c r="CN1044" s="213" t="s">
        <v>3431</v>
      </c>
      <c r="CO1044" s="213" t="s">
        <v>896</v>
      </c>
      <c r="CP1044" s="213" t="s">
        <v>879</v>
      </c>
      <c r="CQ1044" s="213" t="s">
        <v>3432</v>
      </c>
      <c r="CR1044" s="213" t="s">
        <v>3432</v>
      </c>
      <c r="CS1044" s="213" t="s">
        <v>1620</v>
      </c>
      <c r="CT1044" s="213" t="s">
        <v>1621</v>
      </c>
      <c r="CU1044" s="213" t="s">
        <v>2206</v>
      </c>
      <c r="CV1044" s="214" t="s">
        <v>2207</v>
      </c>
      <c r="CX1044" s="212">
        <v>1</v>
      </c>
    </row>
    <row r="1045" spans="91:102" ht="21" customHeight="1">
      <c r="CM1045" s="210"/>
      <c r="CN1045" s="213" t="s">
        <v>3433</v>
      </c>
      <c r="CO1045" s="213" t="s">
        <v>896</v>
      </c>
      <c r="CP1045" s="213" t="s">
        <v>879</v>
      </c>
      <c r="CQ1045" s="213" t="s">
        <v>3434</v>
      </c>
      <c r="CR1045" s="213" t="s">
        <v>3434</v>
      </c>
      <c r="CS1045" s="213" t="s">
        <v>1620</v>
      </c>
      <c r="CT1045" s="213" t="s">
        <v>1621</v>
      </c>
      <c r="CU1045" s="213" t="s">
        <v>2206</v>
      </c>
      <c r="CV1045" s="214" t="s">
        <v>2207</v>
      </c>
      <c r="CX1045" s="212">
        <v>1</v>
      </c>
    </row>
    <row r="1046" spans="91:102" ht="21" customHeight="1">
      <c r="CM1046" s="210"/>
      <c r="CN1046" s="213" t="s">
        <v>3435</v>
      </c>
      <c r="CO1046" s="213" t="s">
        <v>896</v>
      </c>
      <c r="CP1046" s="213" t="s">
        <v>879</v>
      </c>
      <c r="CQ1046" s="213" t="s">
        <v>3436</v>
      </c>
      <c r="CR1046" s="213" t="s">
        <v>3436</v>
      </c>
      <c r="CS1046" s="213" t="s">
        <v>1620</v>
      </c>
      <c r="CT1046" s="213" t="s">
        <v>1621</v>
      </c>
      <c r="CU1046" s="213" t="s">
        <v>2206</v>
      </c>
      <c r="CV1046" s="214" t="s">
        <v>2207</v>
      </c>
      <c r="CX1046" s="212">
        <v>1</v>
      </c>
    </row>
    <row r="1047" spans="91:102" ht="21" customHeight="1">
      <c r="CM1047" s="210"/>
      <c r="CN1047" s="213" t="s">
        <v>3437</v>
      </c>
      <c r="CO1047" s="213" t="s">
        <v>896</v>
      </c>
      <c r="CP1047" s="213" t="s">
        <v>879</v>
      </c>
      <c r="CQ1047" s="213" t="s">
        <v>3438</v>
      </c>
      <c r="CR1047" s="213" t="s">
        <v>3438</v>
      </c>
      <c r="CS1047" s="213" t="s">
        <v>1620</v>
      </c>
      <c r="CT1047" s="213" t="s">
        <v>1621</v>
      </c>
      <c r="CU1047" s="213" t="s">
        <v>2206</v>
      </c>
      <c r="CV1047" s="214" t="s">
        <v>2207</v>
      </c>
      <c r="CX1047" s="212">
        <v>1</v>
      </c>
    </row>
    <row r="1048" spans="91:102" ht="21" customHeight="1">
      <c r="CM1048" s="210"/>
      <c r="CN1048" s="213" t="s">
        <v>3439</v>
      </c>
      <c r="CO1048" s="213" t="s">
        <v>896</v>
      </c>
      <c r="CP1048" s="213" t="s">
        <v>879</v>
      </c>
      <c r="CQ1048" s="213" t="s">
        <v>3440</v>
      </c>
      <c r="CR1048" s="213" t="s">
        <v>3440</v>
      </c>
      <c r="CS1048" s="213" t="s">
        <v>1620</v>
      </c>
      <c r="CT1048" s="213" t="s">
        <v>1621</v>
      </c>
      <c r="CU1048" s="213" t="s">
        <v>2206</v>
      </c>
      <c r="CV1048" s="214" t="s">
        <v>2207</v>
      </c>
      <c r="CX1048" s="212">
        <v>1</v>
      </c>
    </row>
    <row r="1049" spans="91:102" ht="21" customHeight="1">
      <c r="CM1049" s="210"/>
      <c r="CN1049" s="213" t="s">
        <v>3441</v>
      </c>
      <c r="CO1049" s="213" t="s">
        <v>896</v>
      </c>
      <c r="CP1049" s="213" t="s">
        <v>879</v>
      </c>
      <c r="CQ1049" s="213" t="s">
        <v>3442</v>
      </c>
      <c r="CR1049" s="213" t="s">
        <v>3442</v>
      </c>
      <c r="CS1049" s="213" t="s">
        <v>1620</v>
      </c>
      <c r="CT1049" s="213" t="s">
        <v>1621</v>
      </c>
      <c r="CU1049" s="213" t="s">
        <v>2206</v>
      </c>
      <c r="CV1049" s="214" t="s">
        <v>2207</v>
      </c>
      <c r="CX1049" s="212">
        <v>1</v>
      </c>
    </row>
    <row r="1050" spans="91:102" ht="21" customHeight="1">
      <c r="CM1050" s="210"/>
      <c r="CN1050" s="213" t="s">
        <v>3443</v>
      </c>
      <c r="CO1050" s="213" t="s">
        <v>896</v>
      </c>
      <c r="CP1050" s="213" t="s">
        <v>879</v>
      </c>
      <c r="CQ1050" s="213" t="s">
        <v>3444</v>
      </c>
      <c r="CR1050" s="213" t="s">
        <v>3444</v>
      </c>
      <c r="CS1050" s="213" t="s">
        <v>1620</v>
      </c>
      <c r="CT1050" s="213" t="s">
        <v>1621</v>
      </c>
      <c r="CU1050" s="213" t="s">
        <v>2206</v>
      </c>
      <c r="CV1050" s="214" t="s">
        <v>2207</v>
      </c>
      <c r="CX1050" s="212">
        <v>1</v>
      </c>
    </row>
    <row r="1051" spans="91:102" ht="21" customHeight="1">
      <c r="CM1051" s="210"/>
      <c r="CN1051" s="213" t="s">
        <v>3445</v>
      </c>
      <c r="CO1051" s="213" t="s">
        <v>896</v>
      </c>
      <c r="CP1051" s="213" t="s">
        <v>879</v>
      </c>
      <c r="CQ1051" s="213" t="s">
        <v>3446</v>
      </c>
      <c r="CR1051" s="213" t="s">
        <v>3446</v>
      </c>
      <c r="CS1051" s="213" t="s">
        <v>1620</v>
      </c>
      <c r="CT1051" s="213" t="s">
        <v>1621</v>
      </c>
      <c r="CU1051" s="213" t="s">
        <v>2206</v>
      </c>
      <c r="CV1051" s="214" t="s">
        <v>2207</v>
      </c>
      <c r="CX1051" s="212">
        <v>1</v>
      </c>
    </row>
    <row r="1052" spans="91:102" ht="21" customHeight="1">
      <c r="CM1052" s="210"/>
      <c r="CN1052" s="213" t="s">
        <v>3447</v>
      </c>
      <c r="CO1052" s="213" t="s">
        <v>896</v>
      </c>
      <c r="CP1052" s="213" t="s">
        <v>879</v>
      </c>
      <c r="CQ1052" s="213" t="s">
        <v>3448</v>
      </c>
      <c r="CR1052" s="213" t="s">
        <v>3448</v>
      </c>
      <c r="CS1052" s="213" t="s">
        <v>1620</v>
      </c>
      <c r="CT1052" s="213" t="s">
        <v>1621</v>
      </c>
      <c r="CU1052" s="213" t="s">
        <v>2206</v>
      </c>
      <c r="CV1052" s="214" t="s">
        <v>2207</v>
      </c>
      <c r="CX1052" s="212">
        <v>1</v>
      </c>
    </row>
    <row r="1053" spans="91:102" ht="21" customHeight="1">
      <c r="CM1053" s="210"/>
      <c r="CN1053" s="213" t="s">
        <v>3449</v>
      </c>
      <c r="CO1053" s="213" t="s">
        <v>896</v>
      </c>
      <c r="CP1053" s="213" t="s">
        <v>879</v>
      </c>
      <c r="CQ1053" s="213" t="s">
        <v>3450</v>
      </c>
      <c r="CR1053" s="213" t="s">
        <v>3450</v>
      </c>
      <c r="CS1053" s="213" t="s">
        <v>1620</v>
      </c>
      <c r="CT1053" s="213" t="s">
        <v>1621</v>
      </c>
      <c r="CU1053" s="213" t="s">
        <v>2206</v>
      </c>
      <c r="CV1053" s="214" t="s">
        <v>2207</v>
      </c>
      <c r="CX1053" s="212">
        <v>1</v>
      </c>
    </row>
    <row r="1054" spans="91:102" ht="21" customHeight="1">
      <c r="CM1054" s="210"/>
      <c r="CN1054" s="213" t="s">
        <v>3451</v>
      </c>
      <c r="CO1054" s="213" t="s">
        <v>896</v>
      </c>
      <c r="CP1054" s="213" t="s">
        <v>879</v>
      </c>
      <c r="CQ1054" s="213" t="s">
        <v>3452</v>
      </c>
      <c r="CR1054" s="213" t="s">
        <v>3452</v>
      </c>
      <c r="CS1054" s="213" t="s">
        <v>1620</v>
      </c>
      <c r="CT1054" s="213" t="s">
        <v>1621</v>
      </c>
      <c r="CU1054" s="213" t="s">
        <v>2206</v>
      </c>
      <c r="CV1054" s="214" t="s">
        <v>2207</v>
      </c>
      <c r="CX1054" s="212">
        <v>1</v>
      </c>
    </row>
    <row r="1055" spans="91:102" ht="21" customHeight="1">
      <c r="CM1055" s="210"/>
      <c r="CN1055" s="213" t="s">
        <v>3453</v>
      </c>
      <c r="CO1055" s="213" t="s">
        <v>896</v>
      </c>
      <c r="CP1055" s="213" t="s">
        <v>879</v>
      </c>
      <c r="CQ1055" s="213" t="s">
        <v>3454</v>
      </c>
      <c r="CR1055" s="213" t="s">
        <v>3454</v>
      </c>
      <c r="CS1055" s="213" t="s">
        <v>1620</v>
      </c>
      <c r="CT1055" s="213" t="s">
        <v>1621</v>
      </c>
      <c r="CU1055" s="213" t="s">
        <v>2206</v>
      </c>
      <c r="CV1055" s="214" t="s">
        <v>2207</v>
      </c>
      <c r="CX1055" s="212">
        <v>1</v>
      </c>
    </row>
    <row r="1056" spans="91:102" ht="21" customHeight="1">
      <c r="CM1056" s="210"/>
      <c r="CN1056" s="213" t="s">
        <v>3455</v>
      </c>
      <c r="CO1056" s="213" t="s">
        <v>896</v>
      </c>
      <c r="CP1056" s="213" t="s">
        <v>879</v>
      </c>
      <c r="CQ1056" s="213" t="s">
        <v>3456</v>
      </c>
      <c r="CR1056" s="213" t="s">
        <v>3456</v>
      </c>
      <c r="CS1056" s="213" t="s">
        <v>1620</v>
      </c>
      <c r="CT1056" s="213" t="s">
        <v>1621</v>
      </c>
      <c r="CU1056" s="213" t="s">
        <v>2206</v>
      </c>
      <c r="CV1056" s="214" t="s">
        <v>2207</v>
      </c>
      <c r="CX1056" s="212">
        <v>1</v>
      </c>
    </row>
    <row r="1057" spans="91:102" ht="21" customHeight="1">
      <c r="CM1057" s="210"/>
      <c r="CN1057" s="213" t="s">
        <v>3457</v>
      </c>
      <c r="CO1057" s="213" t="s">
        <v>896</v>
      </c>
      <c r="CP1057" s="213" t="s">
        <v>879</v>
      </c>
      <c r="CQ1057" s="213" t="s">
        <v>3458</v>
      </c>
      <c r="CR1057" s="213" t="s">
        <v>3458</v>
      </c>
      <c r="CS1057" s="213" t="s">
        <v>1620</v>
      </c>
      <c r="CT1057" s="213" t="s">
        <v>1621</v>
      </c>
      <c r="CU1057" s="213" t="s">
        <v>2206</v>
      </c>
      <c r="CV1057" s="214" t="s">
        <v>2207</v>
      </c>
      <c r="CX1057" s="212">
        <v>1</v>
      </c>
    </row>
    <row r="1058" spans="91:102" ht="21" customHeight="1">
      <c r="CM1058" s="210"/>
      <c r="CN1058" s="213" t="s">
        <v>3459</v>
      </c>
      <c r="CO1058" s="213" t="s">
        <v>896</v>
      </c>
      <c r="CP1058" s="213" t="s">
        <v>879</v>
      </c>
      <c r="CQ1058" s="213" t="s">
        <v>3460</v>
      </c>
      <c r="CR1058" s="213" t="s">
        <v>3460</v>
      </c>
      <c r="CS1058" s="213" t="s">
        <v>1620</v>
      </c>
      <c r="CT1058" s="213" t="s">
        <v>1621</v>
      </c>
      <c r="CU1058" s="213" t="s">
        <v>2206</v>
      </c>
      <c r="CV1058" s="214" t="s">
        <v>2207</v>
      </c>
      <c r="CX1058" s="212">
        <v>1</v>
      </c>
    </row>
    <row r="1059" spans="91:102" ht="21" customHeight="1">
      <c r="CM1059" s="210"/>
      <c r="CN1059" s="213" t="s">
        <v>3461</v>
      </c>
      <c r="CO1059" s="213" t="s">
        <v>896</v>
      </c>
      <c r="CP1059" s="213" t="s">
        <v>879</v>
      </c>
      <c r="CQ1059" s="213" t="s">
        <v>3462</v>
      </c>
      <c r="CR1059" s="213" t="s">
        <v>3462</v>
      </c>
      <c r="CS1059" s="213" t="s">
        <v>1620</v>
      </c>
      <c r="CT1059" s="213" t="s">
        <v>1621</v>
      </c>
      <c r="CU1059" s="213" t="s">
        <v>2206</v>
      </c>
      <c r="CV1059" s="214" t="s">
        <v>2207</v>
      </c>
      <c r="CX1059" s="212">
        <v>1</v>
      </c>
    </row>
    <row r="1060" spans="91:102" ht="21" customHeight="1">
      <c r="CM1060" s="210"/>
      <c r="CN1060" s="213" t="s">
        <v>3463</v>
      </c>
      <c r="CO1060" s="213" t="s">
        <v>896</v>
      </c>
      <c r="CP1060" s="213" t="s">
        <v>879</v>
      </c>
      <c r="CQ1060" s="213" t="s">
        <v>3464</v>
      </c>
      <c r="CR1060" s="213" t="s">
        <v>3464</v>
      </c>
      <c r="CS1060" s="213" t="s">
        <v>1620</v>
      </c>
      <c r="CT1060" s="213" t="s">
        <v>1621</v>
      </c>
      <c r="CU1060" s="213" t="s">
        <v>2206</v>
      </c>
      <c r="CV1060" s="214" t="s">
        <v>2207</v>
      </c>
      <c r="CX1060" s="212">
        <v>1</v>
      </c>
    </row>
    <row r="1061" spans="91:102" ht="21" customHeight="1">
      <c r="CM1061" s="210"/>
      <c r="CN1061" s="213" t="s">
        <v>3465</v>
      </c>
      <c r="CO1061" s="213" t="s">
        <v>896</v>
      </c>
      <c r="CP1061" s="213" t="s">
        <v>879</v>
      </c>
      <c r="CQ1061" s="213" t="s">
        <v>3466</v>
      </c>
      <c r="CR1061" s="213" t="s">
        <v>3466</v>
      </c>
      <c r="CS1061" s="213" t="s">
        <v>1620</v>
      </c>
      <c r="CT1061" s="213" t="s">
        <v>1621</v>
      </c>
      <c r="CU1061" s="213" t="s">
        <v>2206</v>
      </c>
      <c r="CV1061" s="214" t="s">
        <v>2207</v>
      </c>
      <c r="CX1061" s="212">
        <v>1</v>
      </c>
    </row>
    <row r="1062" spans="91:102" ht="21" customHeight="1">
      <c r="CM1062" s="210"/>
      <c r="CN1062" s="213" t="s">
        <v>3467</v>
      </c>
      <c r="CO1062" s="213" t="s">
        <v>896</v>
      </c>
      <c r="CP1062" s="213" t="s">
        <v>879</v>
      </c>
      <c r="CQ1062" s="213" t="s">
        <v>3468</v>
      </c>
      <c r="CR1062" s="213" t="s">
        <v>3468</v>
      </c>
      <c r="CS1062" s="213" t="s">
        <v>1620</v>
      </c>
      <c r="CT1062" s="213" t="s">
        <v>1621</v>
      </c>
      <c r="CU1062" s="213" t="s">
        <v>2206</v>
      </c>
      <c r="CV1062" s="214" t="s">
        <v>2207</v>
      </c>
      <c r="CX1062" s="212">
        <v>1</v>
      </c>
    </row>
    <row r="1063" spans="91:102" ht="21" customHeight="1">
      <c r="CM1063" s="210"/>
      <c r="CN1063" s="213" t="s">
        <v>3469</v>
      </c>
      <c r="CO1063" s="213" t="s">
        <v>896</v>
      </c>
      <c r="CP1063" s="213" t="s">
        <v>879</v>
      </c>
      <c r="CQ1063" s="213" t="s">
        <v>3470</v>
      </c>
      <c r="CR1063" s="213" t="s">
        <v>3470</v>
      </c>
      <c r="CS1063" s="213" t="s">
        <v>1620</v>
      </c>
      <c r="CT1063" s="213" t="s">
        <v>1621</v>
      </c>
      <c r="CU1063" s="213" t="s">
        <v>2206</v>
      </c>
      <c r="CV1063" s="214" t="s">
        <v>2207</v>
      </c>
      <c r="CX1063" s="212">
        <v>1</v>
      </c>
    </row>
    <row r="1064" spans="91:102" ht="21" customHeight="1">
      <c r="CM1064" s="210"/>
      <c r="CN1064" s="213" t="s">
        <v>3471</v>
      </c>
      <c r="CO1064" s="213" t="s">
        <v>896</v>
      </c>
      <c r="CP1064" s="213" t="s">
        <v>879</v>
      </c>
      <c r="CQ1064" s="213" t="s">
        <v>3472</v>
      </c>
      <c r="CR1064" s="213" t="s">
        <v>3472</v>
      </c>
      <c r="CS1064" s="213" t="s">
        <v>1620</v>
      </c>
      <c r="CT1064" s="213" t="s">
        <v>1621</v>
      </c>
      <c r="CU1064" s="213" t="s">
        <v>2206</v>
      </c>
      <c r="CV1064" s="214" t="s">
        <v>2207</v>
      </c>
      <c r="CX1064" s="212">
        <v>1</v>
      </c>
    </row>
    <row r="1065" spans="91:102" ht="21" customHeight="1">
      <c r="CM1065" s="210"/>
      <c r="CN1065" s="213" t="s">
        <v>3473</v>
      </c>
      <c r="CO1065" s="213" t="s">
        <v>896</v>
      </c>
      <c r="CP1065" s="213" t="s">
        <v>879</v>
      </c>
      <c r="CQ1065" s="213" t="s">
        <v>3474</v>
      </c>
      <c r="CR1065" s="213" t="s">
        <v>3474</v>
      </c>
      <c r="CS1065" s="213" t="s">
        <v>1620</v>
      </c>
      <c r="CT1065" s="213" t="s">
        <v>1621</v>
      </c>
      <c r="CU1065" s="213" t="s">
        <v>2206</v>
      </c>
      <c r="CV1065" s="214" t="s">
        <v>2207</v>
      </c>
      <c r="CX1065" s="212">
        <v>1</v>
      </c>
    </row>
    <row r="1066" spans="91:102" ht="21" customHeight="1">
      <c r="CM1066" s="210"/>
      <c r="CN1066" s="213" t="s">
        <v>3475</v>
      </c>
      <c r="CO1066" s="213" t="s">
        <v>896</v>
      </c>
      <c r="CP1066" s="213" t="s">
        <v>879</v>
      </c>
      <c r="CQ1066" s="213" t="s">
        <v>3476</v>
      </c>
      <c r="CR1066" s="213" t="s">
        <v>3476</v>
      </c>
      <c r="CS1066" s="213" t="s">
        <v>1620</v>
      </c>
      <c r="CT1066" s="213" t="s">
        <v>1621</v>
      </c>
      <c r="CU1066" s="213" t="s">
        <v>2206</v>
      </c>
      <c r="CV1066" s="214" t="s">
        <v>2207</v>
      </c>
      <c r="CX1066" s="212">
        <v>1</v>
      </c>
    </row>
    <row r="1067" spans="91:102" ht="21" customHeight="1">
      <c r="CM1067" s="210"/>
      <c r="CN1067" s="213" t="s">
        <v>3477</v>
      </c>
      <c r="CO1067" s="213" t="s">
        <v>896</v>
      </c>
      <c r="CP1067" s="213" t="s">
        <v>879</v>
      </c>
      <c r="CQ1067" s="213" t="s">
        <v>3478</v>
      </c>
      <c r="CR1067" s="213" t="s">
        <v>3478</v>
      </c>
      <c r="CS1067" s="213" t="s">
        <v>1620</v>
      </c>
      <c r="CT1067" s="213" t="s">
        <v>1621</v>
      </c>
      <c r="CU1067" s="213" t="s">
        <v>2206</v>
      </c>
      <c r="CV1067" s="214" t="s">
        <v>2207</v>
      </c>
      <c r="CX1067" s="212">
        <v>1</v>
      </c>
    </row>
    <row r="1068" spans="91:102" ht="21" customHeight="1">
      <c r="CM1068" s="210"/>
      <c r="CN1068" s="213" t="s">
        <v>3479</v>
      </c>
      <c r="CO1068" s="213" t="s">
        <v>896</v>
      </c>
      <c r="CP1068" s="213" t="s">
        <v>879</v>
      </c>
      <c r="CQ1068" s="213" t="s">
        <v>3480</v>
      </c>
      <c r="CR1068" s="213" t="s">
        <v>3480</v>
      </c>
      <c r="CS1068" s="213" t="s">
        <v>1620</v>
      </c>
      <c r="CT1068" s="213" t="s">
        <v>1621</v>
      </c>
      <c r="CU1068" s="213" t="s">
        <v>2206</v>
      </c>
      <c r="CV1068" s="214" t="s">
        <v>2207</v>
      </c>
      <c r="CX1068" s="212">
        <v>1</v>
      </c>
    </row>
    <row r="1069" spans="91:102" ht="21" customHeight="1">
      <c r="CM1069" s="210"/>
      <c r="CN1069" s="213" t="s">
        <v>3481</v>
      </c>
      <c r="CO1069" s="213" t="s">
        <v>896</v>
      </c>
      <c r="CP1069" s="213" t="s">
        <v>879</v>
      </c>
      <c r="CQ1069" s="213" t="s">
        <v>3482</v>
      </c>
      <c r="CR1069" s="213" t="s">
        <v>3482</v>
      </c>
      <c r="CS1069" s="213" t="s">
        <v>1620</v>
      </c>
      <c r="CT1069" s="213" t="s">
        <v>1621</v>
      </c>
      <c r="CU1069" s="213" t="s">
        <v>2206</v>
      </c>
      <c r="CV1069" s="214" t="s">
        <v>2207</v>
      </c>
      <c r="CX1069" s="212">
        <v>1</v>
      </c>
    </row>
    <row r="1070" spans="91:102" ht="21" customHeight="1">
      <c r="CM1070" s="210"/>
      <c r="CN1070" s="213" t="s">
        <v>3483</v>
      </c>
      <c r="CO1070" s="213" t="s">
        <v>896</v>
      </c>
      <c r="CP1070" s="213" t="s">
        <v>879</v>
      </c>
      <c r="CQ1070" s="213" t="s">
        <v>3484</v>
      </c>
      <c r="CR1070" s="213" t="s">
        <v>3484</v>
      </c>
      <c r="CS1070" s="213" t="s">
        <v>1620</v>
      </c>
      <c r="CT1070" s="213" t="s">
        <v>1621</v>
      </c>
      <c r="CU1070" s="213" t="s">
        <v>2206</v>
      </c>
      <c r="CV1070" s="214" t="s">
        <v>2207</v>
      </c>
      <c r="CX1070" s="212">
        <v>1</v>
      </c>
    </row>
    <row r="1071" spans="91:102" ht="21" customHeight="1">
      <c r="CM1071" s="210"/>
      <c r="CN1071" s="213" t="s">
        <v>3485</v>
      </c>
      <c r="CO1071" s="213" t="s">
        <v>896</v>
      </c>
      <c r="CP1071" s="213" t="s">
        <v>879</v>
      </c>
      <c r="CQ1071" s="213" t="s">
        <v>3486</v>
      </c>
      <c r="CR1071" s="213" t="s">
        <v>3486</v>
      </c>
      <c r="CS1071" s="213" t="s">
        <v>1620</v>
      </c>
      <c r="CT1071" s="213" t="s">
        <v>1621</v>
      </c>
      <c r="CU1071" s="213" t="s">
        <v>2206</v>
      </c>
      <c r="CV1071" s="214" t="s">
        <v>2207</v>
      </c>
      <c r="CX1071" s="212">
        <v>1</v>
      </c>
    </row>
    <row r="1072" spans="91:102" ht="21" customHeight="1">
      <c r="CM1072" s="210"/>
      <c r="CN1072" s="213" t="s">
        <v>3487</v>
      </c>
      <c r="CO1072" s="213" t="s">
        <v>896</v>
      </c>
      <c r="CP1072" s="213" t="s">
        <v>879</v>
      </c>
      <c r="CQ1072" s="213" t="s">
        <v>3488</v>
      </c>
      <c r="CR1072" s="213" t="s">
        <v>3488</v>
      </c>
      <c r="CS1072" s="213" t="s">
        <v>1620</v>
      </c>
      <c r="CT1072" s="213" t="s">
        <v>1621</v>
      </c>
      <c r="CU1072" s="213" t="s">
        <v>2206</v>
      </c>
      <c r="CV1072" s="214" t="s">
        <v>2207</v>
      </c>
      <c r="CX1072" s="212">
        <v>1</v>
      </c>
    </row>
    <row r="1073" spans="91:102" ht="21" customHeight="1">
      <c r="CM1073" s="210"/>
      <c r="CN1073" s="213" t="s">
        <v>3489</v>
      </c>
      <c r="CO1073" s="213" t="s">
        <v>896</v>
      </c>
      <c r="CP1073" s="213" t="s">
        <v>879</v>
      </c>
      <c r="CQ1073" s="213" t="s">
        <v>3490</v>
      </c>
      <c r="CR1073" s="213" t="s">
        <v>3490</v>
      </c>
      <c r="CS1073" s="213" t="s">
        <v>1620</v>
      </c>
      <c r="CT1073" s="213" t="s">
        <v>1621</v>
      </c>
      <c r="CU1073" s="213" t="s">
        <v>2206</v>
      </c>
      <c r="CV1073" s="214" t="s">
        <v>2207</v>
      </c>
      <c r="CX1073" s="212">
        <v>1</v>
      </c>
    </row>
    <row r="1074" spans="91:102" ht="21" customHeight="1">
      <c r="CM1074" s="210"/>
      <c r="CN1074" s="213" t="s">
        <v>3491</v>
      </c>
      <c r="CO1074" s="213" t="s">
        <v>896</v>
      </c>
      <c r="CP1074" s="213" t="s">
        <v>879</v>
      </c>
      <c r="CQ1074" s="213" t="s">
        <v>3492</v>
      </c>
      <c r="CR1074" s="213" t="s">
        <v>3492</v>
      </c>
      <c r="CS1074" s="213" t="s">
        <v>1620</v>
      </c>
      <c r="CT1074" s="213" t="s">
        <v>1621</v>
      </c>
      <c r="CU1074" s="213" t="s">
        <v>2206</v>
      </c>
      <c r="CV1074" s="214" t="s">
        <v>2207</v>
      </c>
      <c r="CX1074" s="212">
        <v>1</v>
      </c>
    </row>
    <row r="1075" spans="91:102" ht="21" customHeight="1">
      <c r="CM1075" s="210"/>
      <c r="CN1075" s="213" t="s">
        <v>3493</v>
      </c>
      <c r="CO1075" s="213" t="s">
        <v>896</v>
      </c>
      <c r="CP1075" s="213" t="s">
        <v>879</v>
      </c>
      <c r="CQ1075" s="213" t="s">
        <v>3494</v>
      </c>
      <c r="CR1075" s="213" t="s">
        <v>3494</v>
      </c>
      <c r="CS1075" s="213" t="s">
        <v>1620</v>
      </c>
      <c r="CT1075" s="213" t="s">
        <v>1621</v>
      </c>
      <c r="CU1075" s="213" t="s">
        <v>2206</v>
      </c>
      <c r="CV1075" s="214" t="s">
        <v>2207</v>
      </c>
      <c r="CX1075" s="212">
        <v>1</v>
      </c>
    </row>
    <row r="1076" spans="91:102" ht="21" customHeight="1">
      <c r="CM1076" s="210"/>
      <c r="CN1076" s="213" t="s">
        <v>3495</v>
      </c>
      <c r="CO1076" s="213" t="s">
        <v>896</v>
      </c>
      <c r="CP1076" s="213" t="s">
        <v>879</v>
      </c>
      <c r="CQ1076" s="213" t="s">
        <v>3496</v>
      </c>
      <c r="CR1076" s="213" t="s">
        <v>3496</v>
      </c>
      <c r="CS1076" s="213" t="s">
        <v>881</v>
      </c>
      <c r="CT1076" s="213" t="s">
        <v>2289</v>
      </c>
      <c r="CU1076" s="213" t="s">
        <v>883</v>
      </c>
      <c r="CV1076" s="214" t="s">
        <v>884</v>
      </c>
      <c r="CX1076" s="212">
        <v>1</v>
      </c>
    </row>
    <row r="1077" spans="91:102" ht="21" customHeight="1">
      <c r="CM1077" s="210"/>
      <c r="CN1077" s="213" t="s">
        <v>3497</v>
      </c>
      <c r="CO1077" s="213" t="s">
        <v>896</v>
      </c>
      <c r="CP1077" s="213" t="s">
        <v>879</v>
      </c>
      <c r="CQ1077" s="213" t="s">
        <v>3498</v>
      </c>
      <c r="CR1077" s="213" t="s">
        <v>3498</v>
      </c>
      <c r="CS1077" s="213" t="s">
        <v>1620</v>
      </c>
      <c r="CT1077" s="213" t="s">
        <v>1621</v>
      </c>
      <c r="CU1077" s="213" t="s">
        <v>2206</v>
      </c>
      <c r="CV1077" s="214" t="s">
        <v>2207</v>
      </c>
      <c r="CX1077" s="212">
        <v>1</v>
      </c>
    </row>
    <row r="1078" spans="91:102" ht="21" customHeight="1">
      <c r="CM1078" s="210"/>
      <c r="CN1078" s="213" t="s">
        <v>3499</v>
      </c>
      <c r="CO1078" s="213" t="s">
        <v>896</v>
      </c>
      <c r="CP1078" s="213" t="s">
        <v>879</v>
      </c>
      <c r="CQ1078" s="213" t="s">
        <v>3500</v>
      </c>
      <c r="CR1078" s="213" t="s">
        <v>3500</v>
      </c>
      <c r="CS1078" s="213" t="s">
        <v>1620</v>
      </c>
      <c r="CT1078" s="213" t="s">
        <v>1621</v>
      </c>
      <c r="CU1078" s="213" t="s">
        <v>2206</v>
      </c>
      <c r="CV1078" s="214" t="s">
        <v>2207</v>
      </c>
      <c r="CX1078" s="212">
        <v>1</v>
      </c>
    </row>
    <row r="1079" spans="91:102" ht="21" customHeight="1">
      <c r="CM1079" s="210"/>
      <c r="CN1079" s="213" t="s">
        <v>3501</v>
      </c>
      <c r="CO1079" s="213" t="s">
        <v>896</v>
      </c>
      <c r="CP1079" s="213" t="s">
        <v>879</v>
      </c>
      <c r="CQ1079" s="213" t="s">
        <v>3502</v>
      </c>
      <c r="CR1079" s="213" t="s">
        <v>3502</v>
      </c>
      <c r="CS1079" s="213" t="s">
        <v>1620</v>
      </c>
      <c r="CT1079" s="213" t="s">
        <v>1621</v>
      </c>
      <c r="CU1079" s="213" t="s">
        <v>2206</v>
      </c>
      <c r="CV1079" s="214" t="s">
        <v>2207</v>
      </c>
      <c r="CX1079" s="212">
        <v>1</v>
      </c>
    </row>
    <row r="1080" spans="91:102" ht="21" customHeight="1">
      <c r="CM1080" s="210"/>
      <c r="CN1080" s="213" t="s">
        <v>3503</v>
      </c>
      <c r="CO1080" s="213" t="s">
        <v>896</v>
      </c>
      <c r="CP1080" s="213" t="s">
        <v>879</v>
      </c>
      <c r="CQ1080" s="213" t="s">
        <v>3504</v>
      </c>
      <c r="CR1080" s="213" t="s">
        <v>3504</v>
      </c>
      <c r="CS1080" s="213" t="s">
        <v>1620</v>
      </c>
      <c r="CT1080" s="213" t="s">
        <v>1621</v>
      </c>
      <c r="CU1080" s="213" t="s">
        <v>2206</v>
      </c>
      <c r="CV1080" s="214" t="s">
        <v>2207</v>
      </c>
      <c r="CX1080" s="212">
        <v>1</v>
      </c>
    </row>
    <row r="1081" spans="91:102" ht="21" customHeight="1">
      <c r="CM1081" s="210"/>
      <c r="CN1081" s="213" t="s">
        <v>3505</v>
      </c>
      <c r="CO1081" s="213" t="s">
        <v>896</v>
      </c>
      <c r="CP1081" s="213" t="s">
        <v>879</v>
      </c>
      <c r="CQ1081" s="213" t="s">
        <v>3506</v>
      </c>
      <c r="CR1081" s="213" t="s">
        <v>3506</v>
      </c>
      <c r="CS1081" s="213" t="s">
        <v>1620</v>
      </c>
      <c r="CT1081" s="213" t="s">
        <v>1621</v>
      </c>
      <c r="CU1081" s="213" t="s">
        <v>2206</v>
      </c>
      <c r="CV1081" s="214" t="s">
        <v>2207</v>
      </c>
      <c r="CX1081" s="212">
        <v>1</v>
      </c>
    </row>
    <row r="1082" spans="91:102" ht="21" customHeight="1">
      <c r="CM1082" s="210"/>
      <c r="CN1082" s="213" t="s">
        <v>3507</v>
      </c>
      <c r="CO1082" s="213" t="s">
        <v>896</v>
      </c>
      <c r="CP1082" s="213" t="s">
        <v>879</v>
      </c>
      <c r="CQ1082" s="213" t="s">
        <v>3508</v>
      </c>
      <c r="CR1082" s="213" t="s">
        <v>3508</v>
      </c>
      <c r="CS1082" s="213" t="s">
        <v>1620</v>
      </c>
      <c r="CT1082" s="213" t="s">
        <v>1621</v>
      </c>
      <c r="CU1082" s="213" t="s">
        <v>2206</v>
      </c>
      <c r="CV1082" s="214" t="s">
        <v>2207</v>
      </c>
      <c r="CX1082" s="212">
        <v>1</v>
      </c>
    </row>
    <row r="1083" spans="91:102" ht="21" customHeight="1">
      <c r="CM1083" s="210"/>
      <c r="CN1083" s="213" t="s">
        <v>3509</v>
      </c>
      <c r="CO1083" s="213" t="s">
        <v>896</v>
      </c>
      <c r="CP1083" s="213" t="s">
        <v>879</v>
      </c>
      <c r="CQ1083" s="213" t="s">
        <v>3510</v>
      </c>
      <c r="CR1083" s="213" t="s">
        <v>3510</v>
      </c>
      <c r="CS1083" s="213" t="s">
        <v>1620</v>
      </c>
      <c r="CT1083" s="213" t="s">
        <v>1621</v>
      </c>
      <c r="CU1083" s="213" t="s">
        <v>2206</v>
      </c>
      <c r="CV1083" s="214" t="s">
        <v>2207</v>
      </c>
      <c r="CX1083" s="212">
        <v>1</v>
      </c>
    </row>
    <row r="1084" spans="91:102" ht="21" customHeight="1">
      <c r="CM1084" s="210"/>
      <c r="CN1084" s="213" t="s">
        <v>3511</v>
      </c>
      <c r="CO1084" s="213" t="s">
        <v>896</v>
      </c>
      <c r="CP1084" s="213" t="s">
        <v>879</v>
      </c>
      <c r="CQ1084" s="213" t="s">
        <v>3512</v>
      </c>
      <c r="CR1084" s="213" t="s">
        <v>3512</v>
      </c>
      <c r="CS1084" s="213" t="s">
        <v>1620</v>
      </c>
      <c r="CT1084" s="213" t="s">
        <v>1621</v>
      </c>
      <c r="CU1084" s="213" t="s">
        <v>2206</v>
      </c>
      <c r="CV1084" s="214" t="s">
        <v>2207</v>
      </c>
      <c r="CX1084" s="212">
        <v>1</v>
      </c>
    </row>
    <row r="1085" spans="91:102" ht="21" customHeight="1">
      <c r="CM1085" s="210"/>
      <c r="CN1085" s="213" t="s">
        <v>3513</v>
      </c>
      <c r="CO1085" s="213" t="s">
        <v>896</v>
      </c>
      <c r="CP1085" s="213" t="s">
        <v>879</v>
      </c>
      <c r="CQ1085" s="213" t="s">
        <v>3514</v>
      </c>
      <c r="CR1085" s="213" t="s">
        <v>3514</v>
      </c>
      <c r="CS1085" s="213" t="s">
        <v>1620</v>
      </c>
      <c r="CT1085" s="213" t="s">
        <v>1621</v>
      </c>
      <c r="CU1085" s="213" t="s">
        <v>2206</v>
      </c>
      <c r="CV1085" s="214" t="s">
        <v>2207</v>
      </c>
      <c r="CX1085" s="212">
        <v>1</v>
      </c>
    </row>
    <row r="1086" spans="91:102" ht="21" customHeight="1">
      <c r="CM1086" s="210"/>
      <c r="CN1086" s="213" t="s">
        <v>3515</v>
      </c>
      <c r="CO1086" s="213" t="s">
        <v>896</v>
      </c>
      <c r="CP1086" s="213" t="s">
        <v>879</v>
      </c>
      <c r="CQ1086" s="213" t="s">
        <v>3516</v>
      </c>
      <c r="CR1086" s="213" t="s">
        <v>3516</v>
      </c>
      <c r="CS1086" s="213" t="s">
        <v>1620</v>
      </c>
      <c r="CT1086" s="213" t="s">
        <v>1621</v>
      </c>
      <c r="CU1086" s="213" t="s">
        <v>2206</v>
      </c>
      <c r="CV1086" s="214" t="s">
        <v>2207</v>
      </c>
      <c r="CX1086" s="212">
        <v>1</v>
      </c>
    </row>
    <row r="1087" spans="91:102" ht="21" customHeight="1">
      <c r="CM1087" s="210"/>
      <c r="CN1087" s="213" t="s">
        <v>3517</v>
      </c>
      <c r="CO1087" s="213" t="s">
        <v>896</v>
      </c>
      <c r="CP1087" s="213" t="s">
        <v>879</v>
      </c>
      <c r="CQ1087" s="213" t="s">
        <v>3518</v>
      </c>
      <c r="CR1087" s="213" t="s">
        <v>3518</v>
      </c>
      <c r="CS1087" s="213" t="s">
        <v>881</v>
      </c>
      <c r="CT1087" s="213" t="s">
        <v>2289</v>
      </c>
      <c r="CU1087" s="213" t="s">
        <v>883</v>
      </c>
      <c r="CV1087" s="214" t="s">
        <v>884</v>
      </c>
      <c r="CX1087" s="212">
        <v>1</v>
      </c>
    </row>
    <row r="1088" spans="91:102" ht="21" customHeight="1">
      <c r="CM1088" s="210"/>
      <c r="CN1088" s="213" t="s">
        <v>3519</v>
      </c>
      <c r="CO1088" s="213" t="s">
        <v>896</v>
      </c>
      <c r="CP1088" s="213" t="s">
        <v>879</v>
      </c>
      <c r="CQ1088" s="213" t="s">
        <v>3520</v>
      </c>
      <c r="CR1088" s="213" t="s">
        <v>3520</v>
      </c>
      <c r="CS1088" s="213" t="s">
        <v>1620</v>
      </c>
      <c r="CT1088" s="213" t="s">
        <v>1621</v>
      </c>
      <c r="CU1088" s="213" t="s">
        <v>2206</v>
      </c>
      <c r="CV1088" s="214" t="s">
        <v>2207</v>
      </c>
      <c r="CX1088" s="212">
        <v>1</v>
      </c>
    </row>
    <row r="1089" spans="91:102" ht="21" customHeight="1">
      <c r="CM1089" s="210"/>
      <c r="CN1089" s="213" t="s">
        <v>3521</v>
      </c>
      <c r="CO1089" s="213" t="s">
        <v>896</v>
      </c>
      <c r="CP1089" s="213" t="s">
        <v>879</v>
      </c>
      <c r="CQ1089" s="213" t="s">
        <v>3522</v>
      </c>
      <c r="CR1089" s="213" t="s">
        <v>3522</v>
      </c>
      <c r="CS1089" s="213" t="s">
        <v>1620</v>
      </c>
      <c r="CT1089" s="213" t="s">
        <v>1621</v>
      </c>
      <c r="CU1089" s="213" t="s">
        <v>2206</v>
      </c>
      <c r="CV1089" s="214" t="s">
        <v>2207</v>
      </c>
      <c r="CX1089" s="212">
        <v>1</v>
      </c>
    </row>
    <row r="1090" spans="91:102" ht="21" customHeight="1">
      <c r="CM1090" s="210"/>
      <c r="CN1090" s="213" t="s">
        <v>3523</v>
      </c>
      <c r="CO1090" s="213" t="s">
        <v>896</v>
      </c>
      <c r="CP1090" s="213" t="s">
        <v>879</v>
      </c>
      <c r="CQ1090" s="213" t="s">
        <v>3524</v>
      </c>
      <c r="CR1090" s="213" t="s">
        <v>3524</v>
      </c>
      <c r="CS1090" s="213" t="s">
        <v>1620</v>
      </c>
      <c r="CT1090" s="213" t="s">
        <v>1621</v>
      </c>
      <c r="CU1090" s="213" t="s">
        <v>2206</v>
      </c>
      <c r="CV1090" s="214" t="s">
        <v>2207</v>
      </c>
      <c r="CX1090" s="212">
        <v>1</v>
      </c>
    </row>
    <row r="1091" spans="91:102" ht="21" customHeight="1">
      <c r="CM1091" s="210"/>
      <c r="CN1091" s="213" t="s">
        <v>3525</v>
      </c>
      <c r="CO1091" s="213" t="s">
        <v>896</v>
      </c>
      <c r="CP1091" s="213" t="s">
        <v>879</v>
      </c>
      <c r="CQ1091" s="213" t="s">
        <v>3526</v>
      </c>
      <c r="CR1091" s="213" t="s">
        <v>3526</v>
      </c>
      <c r="CS1091" s="213" t="s">
        <v>881</v>
      </c>
      <c r="CT1091" s="213" t="s">
        <v>2289</v>
      </c>
      <c r="CU1091" s="213" t="s">
        <v>883</v>
      </c>
      <c r="CV1091" s="214" t="s">
        <v>884</v>
      </c>
      <c r="CX1091" s="212">
        <v>1</v>
      </c>
    </row>
    <row r="1092" spans="91:102" ht="21" customHeight="1">
      <c r="CM1092" s="210"/>
      <c r="CN1092" s="213" t="s">
        <v>3527</v>
      </c>
      <c r="CO1092" s="213" t="s">
        <v>896</v>
      </c>
      <c r="CP1092" s="213" t="s">
        <v>879</v>
      </c>
      <c r="CQ1092" s="213" t="s">
        <v>3528</v>
      </c>
      <c r="CR1092" s="213" t="s">
        <v>3529</v>
      </c>
      <c r="CS1092" s="213" t="s">
        <v>881</v>
      </c>
      <c r="CT1092" s="213" t="s">
        <v>2289</v>
      </c>
      <c r="CU1092" s="213" t="s">
        <v>883</v>
      </c>
      <c r="CV1092" s="214" t="s">
        <v>884</v>
      </c>
      <c r="CX1092" s="212">
        <v>1</v>
      </c>
    </row>
    <row r="1093" spans="91:102" ht="21" customHeight="1">
      <c r="CM1093" s="210"/>
      <c r="CN1093" s="213" t="s">
        <v>3530</v>
      </c>
      <c r="CO1093" s="213" t="s">
        <v>896</v>
      </c>
      <c r="CP1093" s="213" t="s">
        <v>879</v>
      </c>
      <c r="CQ1093" s="213" t="s">
        <v>3531</v>
      </c>
      <c r="CR1093" s="213" t="s">
        <v>3531</v>
      </c>
      <c r="CS1093" s="213" t="s">
        <v>881</v>
      </c>
      <c r="CT1093" s="213" t="s">
        <v>2289</v>
      </c>
      <c r="CU1093" s="213" t="s">
        <v>883</v>
      </c>
      <c r="CV1093" s="214" t="s">
        <v>884</v>
      </c>
      <c r="CX1093" s="212">
        <v>1</v>
      </c>
    </row>
    <row r="1094" spans="91:102" ht="21" customHeight="1">
      <c r="CM1094" s="210"/>
      <c r="CN1094" s="213" t="s">
        <v>3532</v>
      </c>
      <c r="CO1094" s="213" t="s">
        <v>896</v>
      </c>
      <c r="CP1094" s="213" t="s">
        <v>879</v>
      </c>
      <c r="CQ1094" s="213" t="s">
        <v>3533</v>
      </c>
      <c r="CR1094" s="213" t="s">
        <v>3533</v>
      </c>
      <c r="CS1094" s="213" t="s">
        <v>1620</v>
      </c>
      <c r="CT1094" s="213" t="s">
        <v>1621</v>
      </c>
      <c r="CU1094" s="213" t="s">
        <v>2206</v>
      </c>
      <c r="CV1094" s="214" t="s">
        <v>2207</v>
      </c>
      <c r="CX1094" s="212">
        <v>1</v>
      </c>
    </row>
    <row r="1095" spans="91:102" ht="21" customHeight="1">
      <c r="CM1095" s="210"/>
      <c r="CN1095" s="213" t="s">
        <v>3534</v>
      </c>
      <c r="CO1095" s="213" t="s">
        <v>896</v>
      </c>
      <c r="CP1095" s="213" t="s">
        <v>879</v>
      </c>
      <c r="CQ1095" s="213" t="s">
        <v>3535</v>
      </c>
      <c r="CR1095" s="213" t="s">
        <v>3535</v>
      </c>
      <c r="CS1095" s="213" t="s">
        <v>1620</v>
      </c>
      <c r="CT1095" s="213" t="s">
        <v>1621</v>
      </c>
      <c r="CU1095" s="213" t="s">
        <v>2206</v>
      </c>
      <c r="CV1095" s="214" t="s">
        <v>2207</v>
      </c>
      <c r="CX1095" s="212">
        <v>1</v>
      </c>
    </row>
    <row r="1096" spans="91:102" ht="21" customHeight="1">
      <c r="CM1096" s="210"/>
      <c r="CN1096" s="213" t="s">
        <v>3536</v>
      </c>
      <c r="CO1096" s="213" t="s">
        <v>896</v>
      </c>
      <c r="CP1096" s="213" t="s">
        <v>879</v>
      </c>
      <c r="CQ1096" s="213" t="s">
        <v>3537</v>
      </c>
      <c r="CR1096" s="213" t="s">
        <v>3537</v>
      </c>
      <c r="CS1096" s="213" t="s">
        <v>1620</v>
      </c>
      <c r="CT1096" s="213" t="s">
        <v>1621</v>
      </c>
      <c r="CU1096" s="213" t="s">
        <v>2206</v>
      </c>
      <c r="CV1096" s="214" t="s">
        <v>2207</v>
      </c>
      <c r="CX1096" s="212">
        <v>1</v>
      </c>
    </row>
    <row r="1097" spans="91:102" ht="21" customHeight="1">
      <c r="CM1097" s="210"/>
      <c r="CN1097" s="213" t="s">
        <v>3538</v>
      </c>
      <c r="CO1097" s="213" t="s">
        <v>896</v>
      </c>
      <c r="CP1097" s="213" t="s">
        <v>879</v>
      </c>
      <c r="CQ1097" s="213" t="s">
        <v>3539</v>
      </c>
      <c r="CR1097" s="213" t="s">
        <v>3539</v>
      </c>
      <c r="CS1097" s="213" t="s">
        <v>1620</v>
      </c>
      <c r="CT1097" s="213" t="s">
        <v>1621</v>
      </c>
      <c r="CU1097" s="213" t="s">
        <v>2206</v>
      </c>
      <c r="CV1097" s="214" t="s">
        <v>2207</v>
      </c>
      <c r="CX1097" s="212">
        <v>1</v>
      </c>
    </row>
    <row r="1098" spans="91:102" ht="21" customHeight="1">
      <c r="CM1098" s="210"/>
      <c r="CN1098" s="213" t="s">
        <v>3540</v>
      </c>
      <c r="CO1098" s="213" t="s">
        <v>896</v>
      </c>
      <c r="CP1098" s="213" t="s">
        <v>879</v>
      </c>
      <c r="CQ1098" s="213" t="s">
        <v>3541</v>
      </c>
      <c r="CR1098" s="213" t="s">
        <v>3541</v>
      </c>
      <c r="CS1098" s="213" t="s">
        <v>1620</v>
      </c>
      <c r="CT1098" s="213" t="s">
        <v>1621</v>
      </c>
      <c r="CU1098" s="213" t="s">
        <v>2206</v>
      </c>
      <c r="CV1098" s="214" t="s">
        <v>2207</v>
      </c>
      <c r="CX1098" s="212">
        <v>1</v>
      </c>
    </row>
    <row r="1099" spans="91:102" ht="21" customHeight="1">
      <c r="CM1099" s="210"/>
      <c r="CN1099" s="213" t="s">
        <v>3542</v>
      </c>
      <c r="CO1099" s="213" t="s">
        <v>896</v>
      </c>
      <c r="CP1099" s="213" t="s">
        <v>879</v>
      </c>
      <c r="CQ1099" s="213" t="s">
        <v>3543</v>
      </c>
      <c r="CR1099" s="213" t="s">
        <v>3543</v>
      </c>
      <c r="CS1099" s="213" t="s">
        <v>1620</v>
      </c>
      <c r="CT1099" s="213" t="s">
        <v>1621</v>
      </c>
      <c r="CU1099" s="213" t="s">
        <v>2206</v>
      </c>
      <c r="CV1099" s="214" t="s">
        <v>2207</v>
      </c>
      <c r="CX1099" s="212">
        <v>1</v>
      </c>
    </row>
    <row r="1100" spans="91:102" ht="21" customHeight="1">
      <c r="CM1100" s="210"/>
      <c r="CN1100" s="213" t="s">
        <v>3544</v>
      </c>
      <c r="CO1100" s="213" t="s">
        <v>896</v>
      </c>
      <c r="CP1100" s="213" t="s">
        <v>879</v>
      </c>
      <c r="CQ1100" s="213" t="s">
        <v>3545</v>
      </c>
      <c r="CR1100" s="213" t="s">
        <v>3545</v>
      </c>
      <c r="CS1100" s="213" t="s">
        <v>1620</v>
      </c>
      <c r="CT1100" s="213" t="s">
        <v>1621</v>
      </c>
      <c r="CU1100" s="213" t="s">
        <v>2206</v>
      </c>
      <c r="CV1100" s="214" t="s">
        <v>2207</v>
      </c>
      <c r="CX1100" s="212">
        <v>1</v>
      </c>
    </row>
    <row r="1101" spans="91:102" ht="21" customHeight="1">
      <c r="CM1101" s="210"/>
      <c r="CN1101" s="213" t="s">
        <v>3546</v>
      </c>
      <c r="CO1101" s="213" t="s">
        <v>896</v>
      </c>
      <c r="CP1101" s="213" t="s">
        <v>879</v>
      </c>
      <c r="CQ1101" s="213" t="s">
        <v>3547</v>
      </c>
      <c r="CR1101" s="213" t="s">
        <v>3547</v>
      </c>
      <c r="CS1101" s="213" t="s">
        <v>1620</v>
      </c>
      <c r="CT1101" s="213" t="s">
        <v>1621</v>
      </c>
      <c r="CU1101" s="213" t="s">
        <v>2206</v>
      </c>
      <c r="CV1101" s="214" t="s">
        <v>2207</v>
      </c>
      <c r="CX1101" s="212">
        <v>1</v>
      </c>
    </row>
    <row r="1102" spans="91:102" ht="21" customHeight="1">
      <c r="CM1102" s="210"/>
      <c r="CN1102" s="213" t="s">
        <v>3548</v>
      </c>
      <c r="CO1102" s="213" t="s">
        <v>896</v>
      </c>
      <c r="CP1102" s="213" t="s">
        <v>879</v>
      </c>
      <c r="CQ1102" s="213" t="s">
        <v>3549</v>
      </c>
      <c r="CR1102" s="213" t="s">
        <v>3549</v>
      </c>
      <c r="CS1102" s="213" t="s">
        <v>1620</v>
      </c>
      <c r="CT1102" s="213" t="s">
        <v>1621</v>
      </c>
      <c r="CU1102" s="213" t="s">
        <v>2206</v>
      </c>
      <c r="CV1102" s="214" t="s">
        <v>2207</v>
      </c>
      <c r="CX1102" s="212">
        <v>1</v>
      </c>
    </row>
    <row r="1103" spans="91:102" ht="21" customHeight="1">
      <c r="CM1103" s="210"/>
      <c r="CN1103" s="213" t="s">
        <v>3550</v>
      </c>
      <c r="CO1103" s="213" t="s">
        <v>896</v>
      </c>
      <c r="CP1103" s="213" t="s">
        <v>879</v>
      </c>
      <c r="CQ1103" s="213" t="s">
        <v>3551</v>
      </c>
      <c r="CR1103" s="213" t="s">
        <v>3551</v>
      </c>
      <c r="CS1103" s="213" t="s">
        <v>1620</v>
      </c>
      <c r="CT1103" s="213" t="s">
        <v>1621</v>
      </c>
      <c r="CU1103" s="213" t="s">
        <v>2206</v>
      </c>
      <c r="CV1103" s="214" t="s">
        <v>2207</v>
      </c>
      <c r="CX1103" s="212">
        <v>1</v>
      </c>
    </row>
    <row r="1104" spans="91:102" ht="21" customHeight="1">
      <c r="CM1104" s="210"/>
      <c r="CN1104" s="213" t="s">
        <v>3552</v>
      </c>
      <c r="CO1104" s="213" t="s">
        <v>896</v>
      </c>
      <c r="CP1104" s="213" t="s">
        <v>879</v>
      </c>
      <c r="CQ1104" s="213" t="s">
        <v>3553</v>
      </c>
      <c r="CR1104" s="213" t="s">
        <v>3553</v>
      </c>
      <c r="CS1104" s="213" t="s">
        <v>1620</v>
      </c>
      <c r="CT1104" s="213" t="s">
        <v>1621</v>
      </c>
      <c r="CU1104" s="213" t="s">
        <v>2206</v>
      </c>
      <c r="CV1104" s="214" t="s">
        <v>2207</v>
      </c>
      <c r="CX1104" s="212">
        <v>1</v>
      </c>
    </row>
    <row r="1105" spans="91:102" ht="21" customHeight="1">
      <c r="CM1105" s="210"/>
      <c r="CN1105" s="213" t="s">
        <v>3554</v>
      </c>
      <c r="CO1105" s="213" t="s">
        <v>896</v>
      </c>
      <c r="CP1105" s="213" t="s">
        <v>879</v>
      </c>
      <c r="CQ1105" s="213" t="s">
        <v>3555</v>
      </c>
      <c r="CR1105" s="213" t="s">
        <v>3555</v>
      </c>
      <c r="CS1105" s="213" t="s">
        <v>1620</v>
      </c>
      <c r="CT1105" s="213" t="s">
        <v>1621</v>
      </c>
      <c r="CU1105" s="213" t="s">
        <v>2206</v>
      </c>
      <c r="CV1105" s="214" t="s">
        <v>2207</v>
      </c>
      <c r="CX1105" s="212">
        <v>1</v>
      </c>
    </row>
    <row r="1106" spans="91:102" ht="21" customHeight="1">
      <c r="CM1106" s="210"/>
      <c r="CN1106" s="213" t="s">
        <v>3556</v>
      </c>
      <c r="CO1106" s="213" t="s">
        <v>896</v>
      </c>
      <c r="CP1106" s="213" t="s">
        <v>879</v>
      </c>
      <c r="CQ1106" s="213" t="s">
        <v>3557</v>
      </c>
      <c r="CR1106" s="213" t="s">
        <v>3557</v>
      </c>
      <c r="CS1106" s="213" t="s">
        <v>1620</v>
      </c>
      <c r="CT1106" s="213" t="s">
        <v>1621</v>
      </c>
      <c r="CU1106" s="213" t="s">
        <v>2206</v>
      </c>
      <c r="CV1106" s="214" t="s">
        <v>2207</v>
      </c>
      <c r="CX1106" s="212">
        <v>1</v>
      </c>
    </row>
    <row r="1107" spans="91:102" ht="21" customHeight="1">
      <c r="CM1107" s="210"/>
      <c r="CN1107" s="213" t="s">
        <v>3558</v>
      </c>
      <c r="CO1107" s="213" t="s">
        <v>896</v>
      </c>
      <c r="CP1107" s="213" t="s">
        <v>879</v>
      </c>
      <c r="CQ1107" s="213" t="s">
        <v>3559</v>
      </c>
      <c r="CR1107" s="213" t="s">
        <v>3559</v>
      </c>
      <c r="CS1107" s="213" t="s">
        <v>1620</v>
      </c>
      <c r="CT1107" s="213" t="s">
        <v>1621</v>
      </c>
      <c r="CU1107" s="213" t="s">
        <v>2206</v>
      </c>
      <c r="CV1107" s="214" t="s">
        <v>2207</v>
      </c>
      <c r="CX1107" s="212">
        <v>1</v>
      </c>
    </row>
    <row r="1108" spans="91:102" ht="21" customHeight="1">
      <c r="CM1108" s="210"/>
      <c r="CN1108" s="213" t="s">
        <v>3560</v>
      </c>
      <c r="CO1108" s="213" t="s">
        <v>896</v>
      </c>
      <c r="CP1108" s="213" t="s">
        <v>879</v>
      </c>
      <c r="CQ1108" s="213" t="s">
        <v>3561</v>
      </c>
      <c r="CR1108" s="213" t="s">
        <v>3561</v>
      </c>
      <c r="CS1108" s="213" t="s">
        <v>1620</v>
      </c>
      <c r="CT1108" s="213" t="s">
        <v>1621</v>
      </c>
      <c r="CU1108" s="213" t="s">
        <v>2206</v>
      </c>
      <c r="CV1108" s="214" t="s">
        <v>2207</v>
      </c>
      <c r="CX1108" s="212">
        <v>1</v>
      </c>
    </row>
    <row r="1109" spans="91:102" ht="21" customHeight="1">
      <c r="CM1109" s="210"/>
      <c r="CN1109" s="213" t="s">
        <v>3562</v>
      </c>
      <c r="CO1109" s="213" t="s">
        <v>896</v>
      </c>
      <c r="CP1109" s="213" t="s">
        <v>879</v>
      </c>
      <c r="CQ1109" s="213" t="s">
        <v>3563</v>
      </c>
      <c r="CR1109" s="213" t="s">
        <v>3563</v>
      </c>
      <c r="CS1109" s="213" t="s">
        <v>1620</v>
      </c>
      <c r="CT1109" s="213" t="s">
        <v>1621</v>
      </c>
      <c r="CU1109" s="213" t="s">
        <v>2206</v>
      </c>
      <c r="CV1109" s="214" t="s">
        <v>2207</v>
      </c>
      <c r="CX1109" s="212">
        <v>1</v>
      </c>
    </row>
    <row r="1110" spans="91:102" ht="21" customHeight="1">
      <c r="CM1110" s="210"/>
      <c r="CN1110" s="213" t="s">
        <v>3564</v>
      </c>
      <c r="CO1110" s="213" t="s">
        <v>896</v>
      </c>
      <c r="CP1110" s="213" t="s">
        <v>879</v>
      </c>
      <c r="CQ1110" s="213" t="s">
        <v>3565</v>
      </c>
      <c r="CR1110" s="213" t="s">
        <v>3565</v>
      </c>
      <c r="CS1110" s="213" t="s">
        <v>1620</v>
      </c>
      <c r="CT1110" s="213" t="s">
        <v>1621</v>
      </c>
      <c r="CU1110" s="213" t="s">
        <v>2206</v>
      </c>
      <c r="CV1110" s="214" t="s">
        <v>2207</v>
      </c>
      <c r="CX1110" s="212">
        <v>1</v>
      </c>
    </row>
    <row r="1111" spans="91:102" ht="21" customHeight="1">
      <c r="CM1111" s="210"/>
      <c r="CN1111" s="213" t="s">
        <v>3566</v>
      </c>
      <c r="CO1111" s="213" t="s">
        <v>896</v>
      </c>
      <c r="CP1111" s="213" t="s">
        <v>879</v>
      </c>
      <c r="CQ1111" s="213" t="s">
        <v>3567</v>
      </c>
      <c r="CR1111" s="213" t="s">
        <v>3567</v>
      </c>
      <c r="CS1111" s="213" t="s">
        <v>1620</v>
      </c>
      <c r="CT1111" s="213" t="s">
        <v>1621</v>
      </c>
      <c r="CU1111" s="213" t="s">
        <v>2206</v>
      </c>
      <c r="CV1111" s="214" t="s">
        <v>2207</v>
      </c>
      <c r="CX1111" s="212">
        <v>1</v>
      </c>
    </row>
    <row r="1112" spans="91:102" ht="21" customHeight="1">
      <c r="CM1112" s="210"/>
      <c r="CN1112" s="213" t="s">
        <v>3568</v>
      </c>
      <c r="CO1112" s="213" t="s">
        <v>896</v>
      </c>
      <c r="CP1112" s="213" t="s">
        <v>879</v>
      </c>
      <c r="CQ1112" s="213" t="s">
        <v>3569</v>
      </c>
      <c r="CR1112" s="213" t="s">
        <v>3569</v>
      </c>
      <c r="CS1112" s="213" t="s">
        <v>1620</v>
      </c>
      <c r="CT1112" s="213" t="s">
        <v>1621</v>
      </c>
      <c r="CU1112" s="213" t="s">
        <v>2206</v>
      </c>
      <c r="CV1112" s="214" t="s">
        <v>2207</v>
      </c>
      <c r="CX1112" s="212">
        <v>1</v>
      </c>
    </row>
    <row r="1113" spans="91:102" ht="21" customHeight="1">
      <c r="CM1113" s="210"/>
      <c r="CN1113" s="213" t="s">
        <v>3570</v>
      </c>
      <c r="CO1113" s="213" t="s">
        <v>896</v>
      </c>
      <c r="CP1113" s="213" t="s">
        <v>879</v>
      </c>
      <c r="CQ1113" s="213" t="s">
        <v>3571</v>
      </c>
      <c r="CR1113" s="213" t="s">
        <v>3571</v>
      </c>
      <c r="CS1113" s="213" t="s">
        <v>1620</v>
      </c>
      <c r="CT1113" s="213" t="s">
        <v>1621</v>
      </c>
      <c r="CU1113" s="213" t="s">
        <v>2206</v>
      </c>
      <c r="CV1113" s="214" t="s">
        <v>2207</v>
      </c>
      <c r="CX1113" s="212">
        <v>1</v>
      </c>
    </row>
    <row r="1114" spans="91:102" ht="21" customHeight="1">
      <c r="CM1114" s="210"/>
      <c r="CN1114" s="213" t="s">
        <v>3572</v>
      </c>
      <c r="CO1114" s="213" t="s">
        <v>896</v>
      </c>
      <c r="CP1114" s="213" t="s">
        <v>879</v>
      </c>
      <c r="CQ1114" s="213" t="s">
        <v>3573</v>
      </c>
      <c r="CR1114" s="213" t="s">
        <v>3573</v>
      </c>
      <c r="CS1114" s="213" t="s">
        <v>1620</v>
      </c>
      <c r="CT1114" s="213" t="s">
        <v>1621</v>
      </c>
      <c r="CU1114" s="213" t="s">
        <v>2206</v>
      </c>
      <c r="CV1114" s="214" t="s">
        <v>2207</v>
      </c>
      <c r="CX1114" s="212">
        <v>1</v>
      </c>
    </row>
    <row r="1115" spans="91:102" ht="21" customHeight="1">
      <c r="CM1115" s="210"/>
      <c r="CN1115" s="213" t="s">
        <v>3574</v>
      </c>
      <c r="CO1115" s="213" t="s">
        <v>896</v>
      </c>
      <c r="CP1115" s="213" t="s">
        <v>879</v>
      </c>
      <c r="CQ1115" s="213" t="s">
        <v>3575</v>
      </c>
      <c r="CR1115" s="213" t="s">
        <v>3575</v>
      </c>
      <c r="CS1115" s="213" t="s">
        <v>1620</v>
      </c>
      <c r="CT1115" s="213" t="s">
        <v>1621</v>
      </c>
      <c r="CU1115" s="213" t="s">
        <v>2206</v>
      </c>
      <c r="CV1115" s="214" t="s">
        <v>2207</v>
      </c>
      <c r="CX1115" s="212">
        <v>1</v>
      </c>
    </row>
    <row r="1116" spans="91:102" ht="21" customHeight="1">
      <c r="CM1116" s="210"/>
      <c r="CN1116" s="213" t="s">
        <v>3576</v>
      </c>
      <c r="CO1116" s="213" t="s">
        <v>896</v>
      </c>
      <c r="CP1116" s="213" t="s">
        <v>879</v>
      </c>
      <c r="CQ1116" s="213" t="s">
        <v>3577</v>
      </c>
      <c r="CR1116" s="213" t="s">
        <v>3577</v>
      </c>
      <c r="CS1116" s="213" t="s">
        <v>1620</v>
      </c>
      <c r="CT1116" s="213" t="s">
        <v>1621</v>
      </c>
      <c r="CU1116" s="213" t="s">
        <v>2206</v>
      </c>
      <c r="CV1116" s="214" t="s">
        <v>2207</v>
      </c>
      <c r="CX1116" s="212">
        <v>1</v>
      </c>
    </row>
    <row r="1117" spans="91:102" ht="21" customHeight="1">
      <c r="CM1117" s="210"/>
      <c r="CN1117" s="213" t="s">
        <v>3578</v>
      </c>
      <c r="CO1117" s="213" t="s">
        <v>896</v>
      </c>
      <c r="CP1117" s="213" t="s">
        <v>879</v>
      </c>
      <c r="CQ1117" s="213" t="s">
        <v>3579</v>
      </c>
      <c r="CR1117" s="213" t="s">
        <v>3579</v>
      </c>
      <c r="CS1117" s="213" t="s">
        <v>1620</v>
      </c>
      <c r="CT1117" s="213" t="s">
        <v>1621</v>
      </c>
      <c r="CU1117" s="213" t="s">
        <v>2206</v>
      </c>
      <c r="CV1117" s="214" t="s">
        <v>2207</v>
      </c>
      <c r="CX1117" s="212">
        <v>1</v>
      </c>
    </row>
    <row r="1118" spans="91:102" ht="21" customHeight="1">
      <c r="CM1118" s="210"/>
      <c r="CN1118" s="213" t="s">
        <v>3580</v>
      </c>
      <c r="CO1118" s="213" t="s">
        <v>896</v>
      </c>
      <c r="CP1118" s="213" t="s">
        <v>879</v>
      </c>
      <c r="CQ1118" s="213" t="s">
        <v>3581</v>
      </c>
      <c r="CR1118" s="213" t="s">
        <v>3581</v>
      </c>
      <c r="CS1118" s="213" t="s">
        <v>1620</v>
      </c>
      <c r="CT1118" s="213" t="s">
        <v>1621</v>
      </c>
      <c r="CU1118" s="213" t="s">
        <v>2206</v>
      </c>
      <c r="CV1118" s="214" t="s">
        <v>2207</v>
      </c>
      <c r="CX1118" s="212">
        <v>1</v>
      </c>
    </row>
    <row r="1119" spans="91:102" ht="21" customHeight="1">
      <c r="CM1119" s="210"/>
      <c r="CN1119" s="213" t="s">
        <v>3582</v>
      </c>
      <c r="CO1119" s="213" t="s">
        <v>896</v>
      </c>
      <c r="CP1119" s="213" t="s">
        <v>879</v>
      </c>
      <c r="CQ1119" s="213" t="s">
        <v>3583</v>
      </c>
      <c r="CR1119" s="213" t="s">
        <v>3583</v>
      </c>
      <c r="CS1119" s="213" t="s">
        <v>1620</v>
      </c>
      <c r="CT1119" s="213" t="s">
        <v>1621</v>
      </c>
      <c r="CU1119" s="213" t="s">
        <v>2206</v>
      </c>
      <c r="CV1119" s="214" t="s">
        <v>2207</v>
      </c>
      <c r="CX1119" s="212">
        <v>1</v>
      </c>
    </row>
    <row r="1120" spans="91:102" ht="21" customHeight="1">
      <c r="CM1120" s="210"/>
      <c r="CN1120" s="213" t="s">
        <v>3584</v>
      </c>
      <c r="CO1120" s="213" t="s">
        <v>896</v>
      </c>
      <c r="CP1120" s="213" t="s">
        <v>879</v>
      </c>
      <c r="CQ1120" s="213" t="s">
        <v>3585</v>
      </c>
      <c r="CR1120" s="213" t="s">
        <v>3585</v>
      </c>
      <c r="CS1120" s="213" t="s">
        <v>1620</v>
      </c>
      <c r="CT1120" s="213" t="s">
        <v>1621</v>
      </c>
      <c r="CU1120" s="213" t="s">
        <v>2206</v>
      </c>
      <c r="CV1120" s="214" t="s">
        <v>2207</v>
      </c>
      <c r="CX1120" s="212">
        <v>1</v>
      </c>
    </row>
    <row r="1121" spans="91:102" ht="21" customHeight="1">
      <c r="CM1121" s="210"/>
      <c r="CN1121" s="213" t="s">
        <v>3586</v>
      </c>
      <c r="CO1121" s="213" t="s">
        <v>896</v>
      </c>
      <c r="CP1121" s="213" t="s">
        <v>879</v>
      </c>
      <c r="CQ1121" s="213" t="s">
        <v>3587</v>
      </c>
      <c r="CR1121" s="213" t="s">
        <v>3587</v>
      </c>
      <c r="CS1121" s="213" t="s">
        <v>1620</v>
      </c>
      <c r="CT1121" s="213" t="s">
        <v>1621</v>
      </c>
      <c r="CU1121" s="213" t="s">
        <v>2206</v>
      </c>
      <c r="CV1121" s="214" t="s">
        <v>2207</v>
      </c>
      <c r="CX1121" s="212">
        <v>1</v>
      </c>
    </row>
    <row r="1122" spans="91:102" ht="21" customHeight="1">
      <c r="CM1122" s="210"/>
      <c r="CN1122" s="213" t="s">
        <v>3588</v>
      </c>
      <c r="CO1122" s="213" t="s">
        <v>896</v>
      </c>
      <c r="CP1122" s="213" t="s">
        <v>879</v>
      </c>
      <c r="CQ1122" s="213" t="s">
        <v>3589</v>
      </c>
      <c r="CR1122" s="213" t="s">
        <v>3589</v>
      </c>
      <c r="CS1122" s="213" t="s">
        <v>1620</v>
      </c>
      <c r="CT1122" s="213" t="s">
        <v>1621</v>
      </c>
      <c r="CU1122" s="213" t="s">
        <v>2206</v>
      </c>
      <c r="CV1122" s="214" t="s">
        <v>2207</v>
      </c>
      <c r="CX1122" s="212">
        <v>1</v>
      </c>
    </row>
    <row r="1123" spans="91:102" ht="21" customHeight="1">
      <c r="CM1123" s="210"/>
      <c r="CN1123" s="213" t="s">
        <v>3590</v>
      </c>
      <c r="CO1123" s="213" t="s">
        <v>896</v>
      </c>
      <c r="CP1123" s="213" t="s">
        <v>879</v>
      </c>
      <c r="CQ1123" s="213" t="s">
        <v>3591</v>
      </c>
      <c r="CR1123" s="213" t="s">
        <v>3591</v>
      </c>
      <c r="CS1123" s="213" t="s">
        <v>1620</v>
      </c>
      <c r="CT1123" s="213" t="s">
        <v>1621</v>
      </c>
      <c r="CU1123" s="213" t="s">
        <v>2206</v>
      </c>
      <c r="CV1123" s="214" t="s">
        <v>2207</v>
      </c>
      <c r="CX1123" s="212">
        <v>1</v>
      </c>
    </row>
    <row r="1124" spans="91:102" ht="21" customHeight="1">
      <c r="CM1124" s="210"/>
      <c r="CN1124" s="213" t="s">
        <v>3592</v>
      </c>
      <c r="CO1124" s="213" t="s">
        <v>896</v>
      </c>
      <c r="CP1124" s="213" t="s">
        <v>879</v>
      </c>
      <c r="CQ1124" s="213" t="s">
        <v>3593</v>
      </c>
      <c r="CR1124" s="213" t="s">
        <v>3593</v>
      </c>
      <c r="CS1124" s="213" t="s">
        <v>1620</v>
      </c>
      <c r="CT1124" s="213" t="s">
        <v>1621</v>
      </c>
      <c r="CU1124" s="213" t="s">
        <v>2206</v>
      </c>
      <c r="CV1124" s="214" t="s">
        <v>2207</v>
      </c>
      <c r="CX1124" s="212">
        <v>1</v>
      </c>
    </row>
    <row r="1125" spans="91:102" ht="21" customHeight="1">
      <c r="CM1125" s="210"/>
      <c r="CN1125" s="213" t="s">
        <v>3594</v>
      </c>
      <c r="CO1125" s="213" t="s">
        <v>896</v>
      </c>
      <c r="CP1125" s="213" t="s">
        <v>879</v>
      </c>
      <c r="CQ1125" s="213" t="s">
        <v>3595</v>
      </c>
      <c r="CR1125" s="213" t="s">
        <v>3595</v>
      </c>
      <c r="CS1125" s="213" t="s">
        <v>1620</v>
      </c>
      <c r="CT1125" s="213" t="s">
        <v>1621</v>
      </c>
      <c r="CU1125" s="213" t="s">
        <v>2206</v>
      </c>
      <c r="CV1125" s="214" t="s">
        <v>2207</v>
      </c>
      <c r="CX1125" s="212">
        <v>1</v>
      </c>
    </row>
    <row r="1126" spans="91:102" ht="21" customHeight="1">
      <c r="CM1126" s="210"/>
      <c r="CN1126" s="213" t="s">
        <v>3596</v>
      </c>
      <c r="CO1126" s="213" t="s">
        <v>896</v>
      </c>
      <c r="CP1126" s="213" t="s">
        <v>879</v>
      </c>
      <c r="CQ1126" s="213" t="s">
        <v>3597</v>
      </c>
      <c r="CR1126" s="213" t="s">
        <v>3597</v>
      </c>
      <c r="CS1126" s="213" t="s">
        <v>1620</v>
      </c>
      <c r="CT1126" s="213" t="s">
        <v>1621</v>
      </c>
      <c r="CU1126" s="213" t="s">
        <v>2206</v>
      </c>
      <c r="CV1126" s="214" t="s">
        <v>2207</v>
      </c>
      <c r="CX1126" s="212">
        <v>1</v>
      </c>
    </row>
    <row r="1127" spans="91:102" ht="21" customHeight="1">
      <c r="CM1127" s="210"/>
      <c r="CN1127" s="213" t="s">
        <v>3598</v>
      </c>
      <c r="CO1127" s="213" t="s">
        <v>896</v>
      </c>
      <c r="CP1127" s="213" t="s">
        <v>879</v>
      </c>
      <c r="CQ1127" s="213" t="s">
        <v>3599</v>
      </c>
      <c r="CR1127" s="213" t="s">
        <v>3599</v>
      </c>
      <c r="CS1127" s="213" t="s">
        <v>1620</v>
      </c>
      <c r="CT1127" s="213" t="s">
        <v>1621</v>
      </c>
      <c r="CU1127" s="213" t="s">
        <v>2206</v>
      </c>
      <c r="CV1127" s="214" t="s">
        <v>2207</v>
      </c>
      <c r="CX1127" s="212">
        <v>1</v>
      </c>
    </row>
    <row r="1128" spans="91:102" ht="21" customHeight="1">
      <c r="CM1128" s="210"/>
      <c r="CN1128" s="213" t="s">
        <v>3600</v>
      </c>
      <c r="CO1128" s="213" t="s">
        <v>896</v>
      </c>
      <c r="CP1128" s="213" t="s">
        <v>879</v>
      </c>
      <c r="CQ1128" s="213" t="s">
        <v>3601</v>
      </c>
      <c r="CR1128" s="213" t="s">
        <v>3601</v>
      </c>
      <c r="CS1128" s="213" t="s">
        <v>1620</v>
      </c>
      <c r="CT1128" s="213" t="s">
        <v>1621</v>
      </c>
      <c r="CU1128" s="213" t="s">
        <v>2206</v>
      </c>
      <c r="CV1128" s="214" t="s">
        <v>2207</v>
      </c>
      <c r="CX1128" s="212">
        <v>1</v>
      </c>
    </row>
    <row r="1129" spans="91:102" ht="21" customHeight="1">
      <c r="CM1129" s="210"/>
      <c r="CN1129" s="213" t="s">
        <v>3602</v>
      </c>
      <c r="CO1129" s="213" t="s">
        <v>896</v>
      </c>
      <c r="CP1129" s="213" t="s">
        <v>879</v>
      </c>
      <c r="CQ1129" s="213" t="s">
        <v>3603</v>
      </c>
      <c r="CR1129" s="213" t="s">
        <v>3603</v>
      </c>
      <c r="CS1129" s="213" t="s">
        <v>1620</v>
      </c>
      <c r="CT1129" s="213" t="s">
        <v>1621</v>
      </c>
      <c r="CU1129" s="213" t="s">
        <v>2206</v>
      </c>
      <c r="CV1129" s="214" t="s">
        <v>2207</v>
      </c>
      <c r="CX1129" s="212">
        <v>1</v>
      </c>
    </row>
    <row r="1130" spans="91:102" ht="21" customHeight="1">
      <c r="CM1130" s="210"/>
      <c r="CN1130" s="213" t="s">
        <v>3604</v>
      </c>
      <c r="CO1130" s="213" t="s">
        <v>896</v>
      </c>
      <c r="CP1130" s="213" t="s">
        <v>879</v>
      </c>
      <c r="CQ1130" s="213" t="s">
        <v>3605</v>
      </c>
      <c r="CR1130" s="213" t="s">
        <v>3605</v>
      </c>
      <c r="CS1130" s="213" t="s">
        <v>1620</v>
      </c>
      <c r="CT1130" s="213" t="s">
        <v>1621</v>
      </c>
      <c r="CU1130" s="213" t="s">
        <v>2206</v>
      </c>
      <c r="CV1130" s="214" t="s">
        <v>2207</v>
      </c>
      <c r="CX1130" s="212">
        <v>1</v>
      </c>
    </row>
    <row r="1131" spans="91:102" ht="21" customHeight="1">
      <c r="CM1131" s="210"/>
      <c r="CN1131" s="213" t="s">
        <v>3606</v>
      </c>
      <c r="CO1131" s="213" t="s">
        <v>896</v>
      </c>
      <c r="CP1131" s="213" t="s">
        <v>879</v>
      </c>
      <c r="CQ1131" s="213" t="s">
        <v>3607</v>
      </c>
      <c r="CR1131" s="213" t="s">
        <v>3607</v>
      </c>
      <c r="CS1131" s="213" t="s">
        <v>1620</v>
      </c>
      <c r="CT1131" s="213" t="s">
        <v>1621</v>
      </c>
      <c r="CU1131" s="213" t="s">
        <v>2206</v>
      </c>
      <c r="CV1131" s="214" t="s">
        <v>2207</v>
      </c>
      <c r="CX1131" s="212">
        <v>1</v>
      </c>
    </row>
    <row r="1132" spans="91:102" ht="21" customHeight="1">
      <c r="CM1132" s="210"/>
      <c r="CN1132" s="213" t="s">
        <v>3608</v>
      </c>
      <c r="CO1132" s="213" t="s">
        <v>896</v>
      </c>
      <c r="CP1132" s="213" t="s">
        <v>879</v>
      </c>
      <c r="CQ1132" s="213" t="s">
        <v>3609</v>
      </c>
      <c r="CR1132" s="213" t="s">
        <v>3609</v>
      </c>
      <c r="CS1132" s="213" t="s">
        <v>1620</v>
      </c>
      <c r="CT1132" s="213" t="s">
        <v>1621</v>
      </c>
      <c r="CU1132" s="213" t="s">
        <v>2206</v>
      </c>
      <c r="CV1132" s="214" t="s">
        <v>2207</v>
      </c>
      <c r="CX1132" s="212">
        <v>1</v>
      </c>
    </row>
    <row r="1133" spans="91:102" ht="21" customHeight="1">
      <c r="CM1133" s="210"/>
      <c r="CN1133" s="213" t="s">
        <v>3610</v>
      </c>
      <c r="CO1133" s="213" t="s">
        <v>896</v>
      </c>
      <c r="CP1133" s="213" t="s">
        <v>879</v>
      </c>
      <c r="CQ1133" s="213" t="s">
        <v>3611</v>
      </c>
      <c r="CR1133" s="213" t="s">
        <v>3611</v>
      </c>
      <c r="CS1133" s="213" t="s">
        <v>1620</v>
      </c>
      <c r="CT1133" s="213" t="s">
        <v>1621</v>
      </c>
      <c r="CU1133" s="213" t="s">
        <v>2206</v>
      </c>
      <c r="CV1133" s="214" t="s">
        <v>2207</v>
      </c>
      <c r="CX1133" s="212">
        <v>1</v>
      </c>
    </row>
    <row r="1134" spans="91:102" ht="21" customHeight="1">
      <c r="CM1134" s="210"/>
      <c r="CN1134" s="213" t="s">
        <v>3612</v>
      </c>
      <c r="CO1134" s="213" t="s">
        <v>896</v>
      </c>
      <c r="CP1134" s="213" t="s">
        <v>879</v>
      </c>
      <c r="CQ1134" s="213" t="s">
        <v>3613</v>
      </c>
      <c r="CR1134" s="213" t="s">
        <v>3613</v>
      </c>
      <c r="CS1134" s="213" t="s">
        <v>1620</v>
      </c>
      <c r="CT1134" s="213" t="s">
        <v>1621</v>
      </c>
      <c r="CU1134" s="213" t="s">
        <v>2206</v>
      </c>
      <c r="CV1134" s="214" t="s">
        <v>2207</v>
      </c>
      <c r="CX1134" s="212">
        <v>1</v>
      </c>
    </row>
    <row r="1135" spans="91:102" ht="21" customHeight="1">
      <c r="CM1135" s="210"/>
      <c r="CN1135" s="213" t="s">
        <v>3614</v>
      </c>
      <c r="CO1135" s="213" t="s">
        <v>896</v>
      </c>
      <c r="CP1135" s="213" t="s">
        <v>879</v>
      </c>
      <c r="CQ1135" s="213" t="s">
        <v>3615</v>
      </c>
      <c r="CR1135" s="213" t="s">
        <v>3615</v>
      </c>
      <c r="CS1135" s="213" t="s">
        <v>1620</v>
      </c>
      <c r="CT1135" s="213" t="s">
        <v>1621</v>
      </c>
      <c r="CU1135" s="213" t="s">
        <v>2206</v>
      </c>
      <c r="CV1135" s="214" t="s">
        <v>2207</v>
      </c>
      <c r="CX1135" s="212">
        <v>1</v>
      </c>
    </row>
    <row r="1136" spans="91:102" ht="21" customHeight="1">
      <c r="CM1136" s="210"/>
      <c r="CN1136" s="213" t="s">
        <v>3616</v>
      </c>
      <c r="CO1136" s="213" t="s">
        <v>896</v>
      </c>
      <c r="CP1136" s="213" t="s">
        <v>879</v>
      </c>
      <c r="CQ1136" s="213" t="s">
        <v>3617</v>
      </c>
      <c r="CR1136" s="213" t="s">
        <v>3617</v>
      </c>
      <c r="CS1136" s="213" t="s">
        <v>1620</v>
      </c>
      <c r="CT1136" s="213" t="s">
        <v>1621</v>
      </c>
      <c r="CU1136" s="213" t="s">
        <v>2206</v>
      </c>
      <c r="CV1136" s="214" t="s">
        <v>2207</v>
      </c>
      <c r="CX1136" s="212">
        <v>1</v>
      </c>
    </row>
    <row r="1137" spans="91:102" ht="21" customHeight="1">
      <c r="CM1137" s="210"/>
      <c r="CN1137" s="213" t="s">
        <v>3618</v>
      </c>
      <c r="CO1137" s="213" t="s">
        <v>896</v>
      </c>
      <c r="CP1137" s="213" t="s">
        <v>879</v>
      </c>
      <c r="CQ1137" s="213" t="s">
        <v>3619</v>
      </c>
      <c r="CR1137" s="213" t="s">
        <v>3619</v>
      </c>
      <c r="CS1137" s="213" t="s">
        <v>1620</v>
      </c>
      <c r="CT1137" s="213" t="s">
        <v>1621</v>
      </c>
      <c r="CU1137" s="213" t="s">
        <v>2206</v>
      </c>
      <c r="CV1137" s="214" t="s">
        <v>2207</v>
      </c>
      <c r="CX1137" s="212">
        <v>1</v>
      </c>
    </row>
    <row r="1138" spans="91:102" ht="21" customHeight="1">
      <c r="CM1138" s="210"/>
      <c r="CN1138" s="213" t="s">
        <v>3620</v>
      </c>
      <c r="CO1138" s="213" t="s">
        <v>896</v>
      </c>
      <c r="CP1138" s="213" t="s">
        <v>879</v>
      </c>
      <c r="CQ1138" s="213" t="s">
        <v>3621</v>
      </c>
      <c r="CR1138" s="213" t="s">
        <v>3621</v>
      </c>
      <c r="CS1138" s="213" t="s">
        <v>1620</v>
      </c>
      <c r="CT1138" s="213" t="s">
        <v>1621</v>
      </c>
      <c r="CU1138" s="213" t="s">
        <v>2206</v>
      </c>
      <c r="CV1138" s="214" t="s">
        <v>2207</v>
      </c>
      <c r="CX1138" s="212">
        <v>1</v>
      </c>
    </row>
    <row r="1139" spans="91:102" ht="21" customHeight="1">
      <c r="CM1139" s="210"/>
      <c r="CN1139" s="213" t="s">
        <v>3622</v>
      </c>
      <c r="CO1139" s="213" t="s">
        <v>896</v>
      </c>
      <c r="CP1139" s="213" t="s">
        <v>879</v>
      </c>
      <c r="CQ1139" s="213" t="s">
        <v>3623</v>
      </c>
      <c r="CR1139" s="213" t="s">
        <v>3623</v>
      </c>
      <c r="CS1139" s="213" t="s">
        <v>1620</v>
      </c>
      <c r="CT1139" s="213" t="s">
        <v>1621</v>
      </c>
      <c r="CU1139" s="213" t="s">
        <v>2206</v>
      </c>
      <c r="CV1139" s="214" t="s">
        <v>2207</v>
      </c>
      <c r="CX1139" s="212">
        <v>1</v>
      </c>
    </row>
    <row r="1140" spans="91:102" ht="21" customHeight="1">
      <c r="CM1140" s="210"/>
      <c r="CN1140" s="213" t="s">
        <v>3624</v>
      </c>
      <c r="CO1140" s="213" t="s">
        <v>896</v>
      </c>
      <c r="CP1140" s="213" t="s">
        <v>879</v>
      </c>
      <c r="CQ1140" s="213" t="s">
        <v>3625</v>
      </c>
      <c r="CR1140" s="213" t="s">
        <v>3625</v>
      </c>
      <c r="CS1140" s="213" t="s">
        <v>1620</v>
      </c>
      <c r="CT1140" s="213" t="s">
        <v>1621</v>
      </c>
      <c r="CU1140" s="213" t="s">
        <v>2206</v>
      </c>
      <c r="CV1140" s="214" t="s">
        <v>2207</v>
      </c>
      <c r="CX1140" s="212">
        <v>1</v>
      </c>
    </row>
    <row r="1141" spans="91:102" ht="21" customHeight="1">
      <c r="CM1141" s="210"/>
      <c r="CN1141" s="213" t="s">
        <v>3626</v>
      </c>
      <c r="CO1141" s="213" t="s">
        <v>896</v>
      </c>
      <c r="CP1141" s="213" t="s">
        <v>879</v>
      </c>
      <c r="CQ1141" s="213" t="s">
        <v>3627</v>
      </c>
      <c r="CR1141" s="213" t="s">
        <v>3627</v>
      </c>
      <c r="CS1141" s="213" t="s">
        <v>1620</v>
      </c>
      <c r="CT1141" s="213" t="s">
        <v>1621</v>
      </c>
      <c r="CU1141" s="213" t="s">
        <v>2206</v>
      </c>
      <c r="CV1141" s="214" t="s">
        <v>2207</v>
      </c>
      <c r="CX1141" s="212">
        <v>1</v>
      </c>
    </row>
    <row r="1142" spans="91:102" ht="21" customHeight="1">
      <c r="CM1142" s="210"/>
      <c r="CN1142" s="213" t="s">
        <v>3628</v>
      </c>
      <c r="CO1142" s="213" t="s">
        <v>896</v>
      </c>
      <c r="CP1142" s="213" t="s">
        <v>879</v>
      </c>
      <c r="CQ1142" s="213" t="s">
        <v>3629</v>
      </c>
      <c r="CR1142" s="213" t="s">
        <v>3629</v>
      </c>
      <c r="CS1142" s="213" t="s">
        <v>1620</v>
      </c>
      <c r="CT1142" s="213" t="s">
        <v>1621</v>
      </c>
      <c r="CU1142" s="213" t="s">
        <v>2206</v>
      </c>
      <c r="CV1142" s="214" t="s">
        <v>2207</v>
      </c>
      <c r="CX1142" s="212">
        <v>1</v>
      </c>
    </row>
    <row r="1143" spans="91:102" ht="21" customHeight="1">
      <c r="CM1143" s="210"/>
      <c r="CN1143" s="213" t="s">
        <v>3630</v>
      </c>
      <c r="CO1143" s="213" t="s">
        <v>896</v>
      </c>
      <c r="CP1143" s="213" t="s">
        <v>879</v>
      </c>
      <c r="CQ1143" s="213" t="s">
        <v>3631</v>
      </c>
      <c r="CR1143" s="213" t="s">
        <v>3631</v>
      </c>
      <c r="CS1143" s="213" t="s">
        <v>1620</v>
      </c>
      <c r="CT1143" s="213" t="s">
        <v>1621</v>
      </c>
      <c r="CU1143" s="213" t="s">
        <v>2206</v>
      </c>
      <c r="CV1143" s="214" t="s">
        <v>2207</v>
      </c>
      <c r="CX1143" s="212">
        <v>1</v>
      </c>
    </row>
    <row r="1144" spans="91:102" ht="21" customHeight="1">
      <c r="CM1144" s="210"/>
      <c r="CN1144" s="213" t="s">
        <v>3632</v>
      </c>
      <c r="CO1144" s="213" t="s">
        <v>896</v>
      </c>
      <c r="CP1144" s="213" t="s">
        <v>879</v>
      </c>
      <c r="CQ1144" s="213" t="s">
        <v>3633</v>
      </c>
      <c r="CR1144" s="213" t="s">
        <v>3633</v>
      </c>
      <c r="CS1144" s="213" t="s">
        <v>1620</v>
      </c>
      <c r="CT1144" s="213" t="s">
        <v>1621</v>
      </c>
      <c r="CU1144" s="213" t="s">
        <v>2206</v>
      </c>
      <c r="CV1144" s="214" t="s">
        <v>2207</v>
      </c>
      <c r="CX1144" s="212">
        <v>1</v>
      </c>
    </row>
    <row r="1145" spans="91:102" ht="21" customHeight="1">
      <c r="CM1145" s="210"/>
      <c r="CN1145" s="213" t="s">
        <v>3634</v>
      </c>
      <c r="CO1145" s="213" t="s">
        <v>896</v>
      </c>
      <c r="CP1145" s="213" t="s">
        <v>879</v>
      </c>
      <c r="CQ1145" s="213" t="s">
        <v>3635</v>
      </c>
      <c r="CR1145" s="213" t="s">
        <v>3635</v>
      </c>
      <c r="CS1145" s="213" t="s">
        <v>1620</v>
      </c>
      <c r="CT1145" s="213" t="s">
        <v>1621</v>
      </c>
      <c r="CU1145" s="213" t="s">
        <v>2206</v>
      </c>
      <c r="CV1145" s="214" t="s">
        <v>2207</v>
      </c>
      <c r="CX1145" s="212">
        <v>1</v>
      </c>
    </row>
    <row r="1146" spans="91:102" ht="21" customHeight="1">
      <c r="CM1146" s="210"/>
      <c r="CN1146" s="213" t="s">
        <v>3636</v>
      </c>
      <c r="CO1146" s="213" t="s">
        <v>896</v>
      </c>
      <c r="CP1146" s="213" t="s">
        <v>879</v>
      </c>
      <c r="CQ1146" s="213" t="s">
        <v>3637</v>
      </c>
      <c r="CR1146" s="213" t="s">
        <v>3637</v>
      </c>
      <c r="CS1146" s="213" t="s">
        <v>1620</v>
      </c>
      <c r="CT1146" s="213" t="s">
        <v>1621</v>
      </c>
      <c r="CU1146" s="213" t="s">
        <v>2206</v>
      </c>
      <c r="CV1146" s="214" t="s">
        <v>2207</v>
      </c>
      <c r="CX1146" s="212">
        <v>1</v>
      </c>
    </row>
    <row r="1147" spans="91:102" ht="21" customHeight="1">
      <c r="CM1147" s="210"/>
      <c r="CN1147" s="213" t="s">
        <v>3638</v>
      </c>
      <c r="CO1147" s="213" t="s">
        <v>896</v>
      </c>
      <c r="CP1147" s="213" t="s">
        <v>879</v>
      </c>
      <c r="CQ1147" s="213" t="s">
        <v>3639</v>
      </c>
      <c r="CR1147" s="213" t="s">
        <v>3639</v>
      </c>
      <c r="CS1147" s="213" t="s">
        <v>1620</v>
      </c>
      <c r="CT1147" s="213" t="s">
        <v>1621</v>
      </c>
      <c r="CU1147" s="213" t="s">
        <v>2206</v>
      </c>
      <c r="CV1147" s="214" t="s">
        <v>2207</v>
      </c>
      <c r="CX1147" s="212">
        <v>1</v>
      </c>
    </row>
    <row r="1148" spans="91:102" ht="21" customHeight="1">
      <c r="CM1148" s="210"/>
      <c r="CN1148" s="213" t="s">
        <v>3640</v>
      </c>
      <c r="CO1148" s="213" t="s">
        <v>896</v>
      </c>
      <c r="CP1148" s="213" t="s">
        <v>879</v>
      </c>
      <c r="CQ1148" s="213" t="s">
        <v>3641</v>
      </c>
      <c r="CR1148" s="213" t="s">
        <v>3641</v>
      </c>
      <c r="CS1148" s="213" t="s">
        <v>1620</v>
      </c>
      <c r="CT1148" s="213" t="s">
        <v>1621</v>
      </c>
      <c r="CU1148" s="213" t="s">
        <v>2206</v>
      </c>
      <c r="CV1148" s="214" t="s">
        <v>2207</v>
      </c>
      <c r="CX1148" s="212">
        <v>1</v>
      </c>
    </row>
    <row r="1149" spans="91:102" ht="21" customHeight="1">
      <c r="CM1149" s="210"/>
      <c r="CN1149" s="213" t="s">
        <v>3642</v>
      </c>
      <c r="CO1149" s="213" t="s">
        <v>896</v>
      </c>
      <c r="CP1149" s="213" t="s">
        <v>879</v>
      </c>
      <c r="CQ1149" s="213" t="s">
        <v>3643</v>
      </c>
      <c r="CR1149" s="213" t="s">
        <v>3643</v>
      </c>
      <c r="CS1149" s="213" t="s">
        <v>1620</v>
      </c>
      <c r="CT1149" s="213" t="s">
        <v>1621</v>
      </c>
      <c r="CU1149" s="213" t="s">
        <v>2206</v>
      </c>
      <c r="CV1149" s="214" t="s">
        <v>2207</v>
      </c>
      <c r="CX1149" s="212">
        <v>1</v>
      </c>
    </row>
    <row r="1150" spans="91:102" ht="21" customHeight="1">
      <c r="CM1150" s="210"/>
      <c r="CN1150" s="213" t="s">
        <v>3644</v>
      </c>
      <c r="CO1150" s="213" t="s">
        <v>896</v>
      </c>
      <c r="CP1150" s="213" t="s">
        <v>879</v>
      </c>
      <c r="CQ1150" s="213" t="s">
        <v>3645</v>
      </c>
      <c r="CR1150" s="213" t="s">
        <v>3645</v>
      </c>
      <c r="CS1150" s="213" t="s">
        <v>881</v>
      </c>
      <c r="CT1150" s="213" t="s">
        <v>2289</v>
      </c>
      <c r="CU1150" s="213" t="s">
        <v>883</v>
      </c>
      <c r="CV1150" s="214" t="s">
        <v>884</v>
      </c>
      <c r="CX1150" s="212">
        <v>1</v>
      </c>
    </row>
    <row r="1151" spans="91:102" ht="21" customHeight="1">
      <c r="CM1151" s="210"/>
      <c r="CN1151" s="213" t="s">
        <v>3646</v>
      </c>
      <c r="CO1151" s="213" t="s">
        <v>896</v>
      </c>
      <c r="CP1151" s="213" t="s">
        <v>879</v>
      </c>
      <c r="CQ1151" s="213" t="s">
        <v>3647</v>
      </c>
      <c r="CR1151" s="213" t="s">
        <v>3647</v>
      </c>
      <c r="CS1151" s="213" t="s">
        <v>1620</v>
      </c>
      <c r="CT1151" s="213" t="s">
        <v>1621</v>
      </c>
      <c r="CU1151" s="213" t="s">
        <v>2206</v>
      </c>
      <c r="CV1151" s="214" t="s">
        <v>2207</v>
      </c>
      <c r="CX1151" s="212">
        <v>1</v>
      </c>
    </row>
    <row r="1152" spans="91:102" ht="21" customHeight="1">
      <c r="CM1152" s="210"/>
      <c r="CN1152" s="213" t="s">
        <v>3648</v>
      </c>
      <c r="CO1152" s="213" t="s">
        <v>896</v>
      </c>
      <c r="CP1152" s="213" t="s">
        <v>879</v>
      </c>
      <c r="CQ1152" s="213" t="s">
        <v>3649</v>
      </c>
      <c r="CR1152" s="213" t="s">
        <v>3649</v>
      </c>
      <c r="CS1152" s="213" t="s">
        <v>1620</v>
      </c>
      <c r="CT1152" s="213" t="s">
        <v>1621</v>
      </c>
      <c r="CU1152" s="213" t="s">
        <v>2206</v>
      </c>
      <c r="CV1152" s="214" t="s">
        <v>2207</v>
      </c>
      <c r="CX1152" s="212">
        <v>1</v>
      </c>
    </row>
    <row r="1153" spans="91:102" ht="21" customHeight="1">
      <c r="CM1153" s="210"/>
      <c r="CN1153" s="213" t="s">
        <v>3650</v>
      </c>
      <c r="CO1153" s="213" t="s">
        <v>896</v>
      </c>
      <c r="CP1153" s="213" t="s">
        <v>879</v>
      </c>
      <c r="CQ1153" s="213" t="s">
        <v>3651</v>
      </c>
      <c r="CR1153" s="213" t="s">
        <v>3651</v>
      </c>
      <c r="CS1153" s="213" t="s">
        <v>1620</v>
      </c>
      <c r="CT1153" s="213" t="s">
        <v>1621</v>
      </c>
      <c r="CU1153" s="213" t="s">
        <v>2206</v>
      </c>
      <c r="CV1153" s="214" t="s">
        <v>2207</v>
      </c>
      <c r="CX1153" s="212">
        <v>1</v>
      </c>
    </row>
    <row r="1154" spans="91:102" ht="21" customHeight="1">
      <c r="CM1154" s="210"/>
      <c r="CN1154" s="213" t="s">
        <v>3652</v>
      </c>
      <c r="CO1154" s="213" t="s">
        <v>896</v>
      </c>
      <c r="CP1154" s="213" t="s">
        <v>879</v>
      </c>
      <c r="CQ1154" s="213" t="s">
        <v>3653</v>
      </c>
      <c r="CR1154" s="213" t="s">
        <v>3653</v>
      </c>
      <c r="CS1154" s="213" t="s">
        <v>1620</v>
      </c>
      <c r="CT1154" s="213" t="s">
        <v>1621</v>
      </c>
      <c r="CU1154" s="213" t="s">
        <v>2206</v>
      </c>
      <c r="CV1154" s="214" t="s">
        <v>2207</v>
      </c>
      <c r="CX1154" s="212">
        <v>1</v>
      </c>
    </row>
    <row r="1155" spans="91:102" ht="21" customHeight="1">
      <c r="CM1155" s="210"/>
      <c r="CN1155" s="213" t="s">
        <v>3654</v>
      </c>
      <c r="CO1155" s="213" t="s">
        <v>896</v>
      </c>
      <c r="CP1155" s="213" t="s">
        <v>879</v>
      </c>
      <c r="CQ1155" s="213" t="s">
        <v>3655</v>
      </c>
      <c r="CR1155" s="213" t="s">
        <v>3655</v>
      </c>
      <c r="CS1155" s="213" t="s">
        <v>1620</v>
      </c>
      <c r="CT1155" s="213" t="s">
        <v>1621</v>
      </c>
      <c r="CU1155" s="213" t="s">
        <v>2206</v>
      </c>
      <c r="CV1155" s="214" t="s">
        <v>2207</v>
      </c>
      <c r="CX1155" s="212">
        <v>1</v>
      </c>
    </row>
    <row r="1156" spans="91:102" ht="21" customHeight="1">
      <c r="CM1156" s="210"/>
      <c r="CN1156" s="213" t="s">
        <v>3656</v>
      </c>
      <c r="CO1156" s="213" t="s">
        <v>896</v>
      </c>
      <c r="CP1156" s="213" t="s">
        <v>879</v>
      </c>
      <c r="CQ1156" s="213" t="s">
        <v>3657</v>
      </c>
      <c r="CR1156" s="213" t="s">
        <v>3657</v>
      </c>
      <c r="CS1156" s="213" t="s">
        <v>1620</v>
      </c>
      <c r="CT1156" s="213" t="s">
        <v>1621</v>
      </c>
      <c r="CU1156" s="213" t="s">
        <v>2206</v>
      </c>
      <c r="CV1156" s="214" t="s">
        <v>2207</v>
      </c>
      <c r="CX1156" s="212">
        <v>1</v>
      </c>
    </row>
    <row r="1157" spans="91:102" ht="21" customHeight="1">
      <c r="CM1157" s="210"/>
      <c r="CN1157" s="213" t="s">
        <v>3658</v>
      </c>
      <c r="CO1157" s="213" t="s">
        <v>896</v>
      </c>
      <c r="CP1157" s="213" t="s">
        <v>879</v>
      </c>
      <c r="CQ1157" s="213" t="s">
        <v>3659</v>
      </c>
      <c r="CR1157" s="213" t="s">
        <v>3659</v>
      </c>
      <c r="CS1157" s="213" t="s">
        <v>1620</v>
      </c>
      <c r="CT1157" s="213" t="s">
        <v>1621</v>
      </c>
      <c r="CU1157" s="213" t="s">
        <v>2206</v>
      </c>
      <c r="CV1157" s="214" t="s">
        <v>2207</v>
      </c>
      <c r="CX1157" s="212">
        <v>1</v>
      </c>
    </row>
    <row r="1158" spans="91:102" ht="21" customHeight="1">
      <c r="CM1158" s="210"/>
      <c r="CN1158" s="213" t="s">
        <v>3660</v>
      </c>
      <c r="CO1158" s="213" t="s">
        <v>896</v>
      </c>
      <c r="CP1158" s="213" t="s">
        <v>879</v>
      </c>
      <c r="CQ1158" s="213" t="s">
        <v>3661</v>
      </c>
      <c r="CR1158" s="213" t="s">
        <v>3661</v>
      </c>
      <c r="CS1158" s="213" t="s">
        <v>1620</v>
      </c>
      <c r="CT1158" s="213" t="s">
        <v>1621</v>
      </c>
      <c r="CU1158" s="213" t="s">
        <v>2206</v>
      </c>
      <c r="CV1158" s="214" t="s">
        <v>2207</v>
      </c>
      <c r="CX1158" s="212">
        <v>1</v>
      </c>
    </row>
    <row r="1159" spans="91:102" ht="21" customHeight="1">
      <c r="CM1159" s="210"/>
      <c r="CN1159" s="213" t="s">
        <v>3662</v>
      </c>
      <c r="CO1159" s="213" t="s">
        <v>896</v>
      </c>
      <c r="CP1159" s="213" t="s">
        <v>879</v>
      </c>
      <c r="CQ1159" s="213" t="s">
        <v>3663</v>
      </c>
      <c r="CR1159" s="213" t="s">
        <v>3663</v>
      </c>
      <c r="CS1159" s="213" t="s">
        <v>1620</v>
      </c>
      <c r="CT1159" s="213" t="s">
        <v>1621</v>
      </c>
      <c r="CU1159" s="213" t="s">
        <v>2206</v>
      </c>
      <c r="CV1159" s="214" t="s">
        <v>2207</v>
      </c>
      <c r="CX1159" s="212">
        <v>1</v>
      </c>
    </row>
    <row r="1160" spans="91:102" ht="21" customHeight="1">
      <c r="CM1160" s="210"/>
      <c r="CN1160" s="213" t="s">
        <v>3664</v>
      </c>
      <c r="CO1160" s="213" t="s">
        <v>896</v>
      </c>
      <c r="CP1160" s="213" t="s">
        <v>879</v>
      </c>
      <c r="CQ1160" s="213" t="s">
        <v>3665</v>
      </c>
      <c r="CR1160" s="213" t="s">
        <v>3665</v>
      </c>
      <c r="CS1160" s="213" t="s">
        <v>1620</v>
      </c>
      <c r="CT1160" s="213" t="s">
        <v>1621</v>
      </c>
      <c r="CU1160" s="213" t="s">
        <v>2206</v>
      </c>
      <c r="CV1160" s="214" t="s">
        <v>2207</v>
      </c>
      <c r="CX1160" s="212">
        <v>1</v>
      </c>
    </row>
    <row r="1161" spans="91:102" ht="21" customHeight="1">
      <c r="CM1161" s="210"/>
      <c r="CN1161" s="213" t="s">
        <v>3666</v>
      </c>
      <c r="CO1161" s="213" t="s">
        <v>896</v>
      </c>
      <c r="CP1161" s="213" t="s">
        <v>879</v>
      </c>
      <c r="CQ1161" s="213" t="s">
        <v>3667</v>
      </c>
      <c r="CR1161" s="213" t="s">
        <v>3667</v>
      </c>
      <c r="CS1161" s="213" t="s">
        <v>1620</v>
      </c>
      <c r="CT1161" s="213" t="s">
        <v>1621</v>
      </c>
      <c r="CU1161" s="213" t="s">
        <v>2206</v>
      </c>
      <c r="CV1161" s="214" t="s">
        <v>2207</v>
      </c>
      <c r="CX1161" s="212">
        <v>1</v>
      </c>
    </row>
    <row r="1162" spans="91:102" ht="21" customHeight="1">
      <c r="CM1162" s="210"/>
      <c r="CN1162" s="213" t="s">
        <v>3668</v>
      </c>
      <c r="CO1162" s="213" t="s">
        <v>896</v>
      </c>
      <c r="CP1162" s="213" t="s">
        <v>879</v>
      </c>
      <c r="CQ1162" s="213" t="s">
        <v>3669</v>
      </c>
      <c r="CR1162" s="213" t="s">
        <v>3669</v>
      </c>
      <c r="CS1162" s="213" t="s">
        <v>1620</v>
      </c>
      <c r="CT1162" s="213" t="s">
        <v>1621</v>
      </c>
      <c r="CU1162" s="213" t="s">
        <v>2206</v>
      </c>
      <c r="CV1162" s="214" t="s">
        <v>2207</v>
      </c>
      <c r="CX1162" s="212">
        <v>1</v>
      </c>
    </row>
    <row r="1163" spans="91:102" ht="21" customHeight="1">
      <c r="CM1163" s="210"/>
      <c r="CN1163" s="213" t="s">
        <v>3670</v>
      </c>
      <c r="CO1163" s="213" t="s">
        <v>896</v>
      </c>
      <c r="CP1163" s="213" t="s">
        <v>879</v>
      </c>
      <c r="CQ1163" s="213" t="s">
        <v>3671</v>
      </c>
      <c r="CR1163" s="213" t="s">
        <v>3671</v>
      </c>
      <c r="CS1163" s="213" t="s">
        <v>1620</v>
      </c>
      <c r="CT1163" s="213" t="s">
        <v>1621</v>
      </c>
      <c r="CU1163" s="213" t="s">
        <v>2206</v>
      </c>
      <c r="CV1163" s="214" t="s">
        <v>2207</v>
      </c>
      <c r="CX1163" s="212">
        <v>1</v>
      </c>
    </row>
    <row r="1164" spans="91:102" ht="21" customHeight="1">
      <c r="CM1164" s="210"/>
      <c r="CN1164" s="213" t="s">
        <v>3672</v>
      </c>
      <c r="CO1164" s="213" t="s">
        <v>896</v>
      </c>
      <c r="CP1164" s="213" t="s">
        <v>879</v>
      </c>
      <c r="CQ1164" s="213" t="s">
        <v>3673</v>
      </c>
      <c r="CR1164" s="213" t="s">
        <v>3673</v>
      </c>
      <c r="CS1164" s="213" t="s">
        <v>1620</v>
      </c>
      <c r="CT1164" s="213" t="s">
        <v>1621</v>
      </c>
      <c r="CU1164" s="213" t="s">
        <v>2206</v>
      </c>
      <c r="CV1164" s="214" t="s">
        <v>2207</v>
      </c>
      <c r="CX1164" s="212">
        <v>1</v>
      </c>
    </row>
    <row r="1165" spans="91:102" ht="21" customHeight="1">
      <c r="CM1165" s="210"/>
      <c r="CN1165" s="213" t="s">
        <v>3674</v>
      </c>
      <c r="CO1165" s="213" t="s">
        <v>896</v>
      </c>
      <c r="CP1165" s="213" t="s">
        <v>879</v>
      </c>
      <c r="CQ1165" s="213" t="s">
        <v>3675</v>
      </c>
      <c r="CR1165" s="213" t="s">
        <v>3675</v>
      </c>
      <c r="CS1165" s="213" t="s">
        <v>1620</v>
      </c>
      <c r="CT1165" s="213" t="s">
        <v>1621</v>
      </c>
      <c r="CU1165" s="213" t="s">
        <v>2206</v>
      </c>
      <c r="CV1165" s="214" t="s">
        <v>2207</v>
      </c>
      <c r="CX1165" s="212">
        <v>1</v>
      </c>
    </row>
    <row r="1166" spans="91:102" ht="21" customHeight="1">
      <c r="CM1166" s="210"/>
      <c r="CN1166" s="213" t="s">
        <v>3676</v>
      </c>
      <c r="CO1166" s="213" t="s">
        <v>896</v>
      </c>
      <c r="CP1166" s="213" t="s">
        <v>879</v>
      </c>
      <c r="CQ1166" s="213" t="s">
        <v>3677</v>
      </c>
      <c r="CR1166" s="213" t="s">
        <v>3677</v>
      </c>
      <c r="CS1166" s="213" t="s">
        <v>1620</v>
      </c>
      <c r="CT1166" s="213" t="s">
        <v>1621</v>
      </c>
      <c r="CU1166" s="213" t="s">
        <v>2206</v>
      </c>
      <c r="CV1166" s="214" t="s">
        <v>2207</v>
      </c>
      <c r="CX1166" s="212">
        <v>1</v>
      </c>
    </row>
    <row r="1167" spans="91:102" ht="21" customHeight="1">
      <c r="CM1167" s="210"/>
      <c r="CN1167" s="213" t="s">
        <v>3678</v>
      </c>
      <c r="CO1167" s="213" t="s">
        <v>896</v>
      </c>
      <c r="CP1167" s="213" t="s">
        <v>879</v>
      </c>
      <c r="CQ1167" s="213" t="s">
        <v>3679</v>
      </c>
      <c r="CR1167" s="213" t="s">
        <v>3679</v>
      </c>
      <c r="CS1167" s="213" t="s">
        <v>1620</v>
      </c>
      <c r="CT1167" s="213" t="s">
        <v>1621</v>
      </c>
      <c r="CU1167" s="213" t="s">
        <v>2206</v>
      </c>
      <c r="CV1167" s="214" t="s">
        <v>2207</v>
      </c>
      <c r="CX1167" s="212">
        <v>1</v>
      </c>
    </row>
    <row r="1168" spans="91:102" ht="21" customHeight="1">
      <c r="CM1168" s="210"/>
      <c r="CN1168" s="213" t="s">
        <v>3680</v>
      </c>
      <c r="CO1168" s="213" t="s">
        <v>896</v>
      </c>
      <c r="CP1168" s="213" t="s">
        <v>879</v>
      </c>
      <c r="CQ1168" s="213" t="s">
        <v>3681</v>
      </c>
      <c r="CR1168" s="213" t="s">
        <v>3681</v>
      </c>
      <c r="CS1168" s="213" t="s">
        <v>1620</v>
      </c>
      <c r="CT1168" s="213" t="s">
        <v>1621</v>
      </c>
      <c r="CU1168" s="213" t="s">
        <v>2206</v>
      </c>
      <c r="CV1168" s="214" t="s">
        <v>2207</v>
      </c>
      <c r="CX1168" s="212">
        <v>1</v>
      </c>
    </row>
    <row r="1169" spans="91:102" ht="21" customHeight="1">
      <c r="CM1169" s="210"/>
      <c r="CN1169" s="213" t="s">
        <v>3682</v>
      </c>
      <c r="CO1169" s="213" t="s">
        <v>896</v>
      </c>
      <c r="CP1169" s="213" t="s">
        <v>879</v>
      </c>
      <c r="CQ1169" s="213" t="s">
        <v>3683</v>
      </c>
      <c r="CR1169" s="213" t="s">
        <v>3683</v>
      </c>
      <c r="CS1169" s="213" t="s">
        <v>1620</v>
      </c>
      <c r="CT1169" s="213" t="s">
        <v>1621</v>
      </c>
      <c r="CU1169" s="213" t="s">
        <v>2206</v>
      </c>
      <c r="CV1169" s="214" t="s">
        <v>2207</v>
      </c>
      <c r="CX1169" s="212">
        <v>1</v>
      </c>
    </row>
    <row r="1170" spans="91:102" ht="21" customHeight="1">
      <c r="CM1170" s="210"/>
      <c r="CN1170" s="213" t="s">
        <v>3684</v>
      </c>
      <c r="CO1170" s="213" t="s">
        <v>896</v>
      </c>
      <c r="CP1170" s="213" t="s">
        <v>879</v>
      </c>
      <c r="CQ1170" s="213" t="s">
        <v>3685</v>
      </c>
      <c r="CR1170" s="213" t="s">
        <v>3685</v>
      </c>
      <c r="CS1170" s="213" t="s">
        <v>1620</v>
      </c>
      <c r="CT1170" s="213" t="s">
        <v>1621</v>
      </c>
      <c r="CU1170" s="213" t="s">
        <v>2206</v>
      </c>
      <c r="CV1170" s="214" t="s">
        <v>2207</v>
      </c>
      <c r="CX1170" s="212">
        <v>1</v>
      </c>
    </row>
    <row r="1171" spans="91:102" ht="21" customHeight="1">
      <c r="CM1171" s="210"/>
      <c r="CN1171" s="213" t="s">
        <v>3686</v>
      </c>
      <c r="CO1171" s="213" t="s">
        <v>896</v>
      </c>
      <c r="CP1171" s="213" t="s">
        <v>879</v>
      </c>
      <c r="CQ1171" s="213" t="s">
        <v>3687</v>
      </c>
      <c r="CR1171" s="213" t="s">
        <v>3687</v>
      </c>
      <c r="CS1171" s="213" t="s">
        <v>1620</v>
      </c>
      <c r="CT1171" s="213" t="s">
        <v>1621</v>
      </c>
      <c r="CU1171" s="213" t="s">
        <v>2206</v>
      </c>
      <c r="CV1171" s="214" t="s">
        <v>2207</v>
      </c>
      <c r="CX1171" s="212">
        <v>1</v>
      </c>
    </row>
    <row r="1172" spans="91:102" ht="21" customHeight="1">
      <c r="CM1172" s="210"/>
      <c r="CN1172" s="213" t="s">
        <v>3688</v>
      </c>
      <c r="CO1172" s="213" t="s">
        <v>896</v>
      </c>
      <c r="CP1172" s="213" t="s">
        <v>879</v>
      </c>
      <c r="CQ1172" s="213" t="s">
        <v>3689</v>
      </c>
      <c r="CR1172" s="213" t="s">
        <v>3689</v>
      </c>
      <c r="CS1172" s="213" t="s">
        <v>1620</v>
      </c>
      <c r="CT1172" s="213" t="s">
        <v>1621</v>
      </c>
      <c r="CU1172" s="213" t="s">
        <v>2206</v>
      </c>
      <c r="CV1172" s="214" t="s">
        <v>2207</v>
      </c>
      <c r="CX1172" s="212">
        <v>1</v>
      </c>
    </row>
    <row r="1173" spans="91:102" ht="21" customHeight="1">
      <c r="CM1173" s="210"/>
      <c r="CN1173" s="213" t="s">
        <v>3690</v>
      </c>
      <c r="CO1173" s="213" t="s">
        <v>896</v>
      </c>
      <c r="CP1173" s="213" t="s">
        <v>879</v>
      </c>
      <c r="CQ1173" s="213" t="s">
        <v>3691</v>
      </c>
      <c r="CR1173" s="213" t="s">
        <v>3691</v>
      </c>
      <c r="CS1173" s="213" t="s">
        <v>1620</v>
      </c>
      <c r="CT1173" s="213" t="s">
        <v>1621</v>
      </c>
      <c r="CU1173" s="213" t="s">
        <v>2206</v>
      </c>
      <c r="CV1173" s="214" t="s">
        <v>2207</v>
      </c>
      <c r="CX1173" s="212">
        <v>1</v>
      </c>
    </row>
    <row r="1174" spans="91:102" ht="21" customHeight="1">
      <c r="CM1174" s="210"/>
      <c r="CN1174" s="213" t="s">
        <v>3692</v>
      </c>
      <c r="CO1174" s="213" t="s">
        <v>896</v>
      </c>
      <c r="CP1174" s="213" t="s">
        <v>879</v>
      </c>
      <c r="CQ1174" s="213" t="s">
        <v>3693</v>
      </c>
      <c r="CR1174" s="213" t="s">
        <v>3693</v>
      </c>
      <c r="CS1174" s="213" t="s">
        <v>971</v>
      </c>
      <c r="CT1174" s="213" t="s">
        <v>972</v>
      </c>
      <c r="CU1174" s="213" t="s">
        <v>883</v>
      </c>
      <c r="CV1174" s="214" t="s">
        <v>973</v>
      </c>
      <c r="CX1174" s="212">
        <v>1</v>
      </c>
    </row>
    <row r="1175" spans="91:102" ht="21" customHeight="1">
      <c r="CM1175" s="210"/>
      <c r="CN1175" s="213" t="s">
        <v>3694</v>
      </c>
      <c r="CO1175" s="213" t="s">
        <v>896</v>
      </c>
      <c r="CP1175" s="213" t="s">
        <v>879</v>
      </c>
      <c r="CQ1175" s="213" t="s">
        <v>3695</v>
      </c>
      <c r="CR1175" s="213" t="s">
        <v>3695</v>
      </c>
      <c r="CS1175" s="213" t="s">
        <v>1620</v>
      </c>
      <c r="CT1175" s="213" t="s">
        <v>1621</v>
      </c>
      <c r="CU1175" s="213" t="s">
        <v>2206</v>
      </c>
      <c r="CV1175" s="214" t="s">
        <v>2207</v>
      </c>
      <c r="CX1175" s="212">
        <v>1</v>
      </c>
    </row>
    <row r="1176" spans="91:102" ht="21" customHeight="1">
      <c r="CM1176" s="210"/>
      <c r="CN1176" s="213" t="s">
        <v>3696</v>
      </c>
      <c r="CO1176" s="213" t="s">
        <v>896</v>
      </c>
      <c r="CP1176" s="213" t="s">
        <v>879</v>
      </c>
      <c r="CQ1176" s="213" t="s">
        <v>3697</v>
      </c>
      <c r="CR1176" s="213" t="s">
        <v>3697</v>
      </c>
      <c r="CS1176" s="213" t="s">
        <v>1620</v>
      </c>
      <c r="CT1176" s="213" t="s">
        <v>1621</v>
      </c>
      <c r="CU1176" s="213" t="s">
        <v>2206</v>
      </c>
      <c r="CV1176" s="214" t="s">
        <v>2207</v>
      </c>
      <c r="CX1176" s="212">
        <v>1</v>
      </c>
    </row>
    <row r="1177" spans="91:102" ht="21" customHeight="1">
      <c r="CM1177" s="210"/>
      <c r="CN1177" s="213" t="s">
        <v>3698</v>
      </c>
      <c r="CO1177" s="213" t="s">
        <v>896</v>
      </c>
      <c r="CP1177" s="213" t="s">
        <v>879</v>
      </c>
      <c r="CQ1177" s="213" t="s">
        <v>3699</v>
      </c>
      <c r="CR1177" s="213" t="s">
        <v>3699</v>
      </c>
      <c r="CS1177" s="213" t="s">
        <v>1620</v>
      </c>
      <c r="CT1177" s="213" t="s">
        <v>1621</v>
      </c>
      <c r="CU1177" s="213" t="s">
        <v>2206</v>
      </c>
      <c r="CV1177" s="214" t="s">
        <v>2207</v>
      </c>
      <c r="CX1177" s="212">
        <v>1</v>
      </c>
    </row>
    <row r="1178" spans="91:102" ht="21" customHeight="1">
      <c r="CM1178" s="210"/>
      <c r="CN1178" s="213" t="s">
        <v>3700</v>
      </c>
      <c r="CO1178" s="213" t="s">
        <v>896</v>
      </c>
      <c r="CP1178" s="213" t="s">
        <v>879</v>
      </c>
      <c r="CQ1178" s="213" t="s">
        <v>3701</v>
      </c>
      <c r="CR1178" s="213" t="s">
        <v>3701</v>
      </c>
      <c r="CS1178" s="213" t="s">
        <v>1620</v>
      </c>
      <c r="CT1178" s="213" t="s">
        <v>1621</v>
      </c>
      <c r="CU1178" s="213" t="s">
        <v>2206</v>
      </c>
      <c r="CV1178" s="214" t="s">
        <v>2207</v>
      </c>
      <c r="CX1178" s="212">
        <v>1</v>
      </c>
    </row>
    <row r="1179" spans="91:102" ht="21" customHeight="1">
      <c r="CM1179" s="210"/>
      <c r="CN1179" s="213" t="s">
        <v>3702</v>
      </c>
      <c r="CO1179" s="213" t="s">
        <v>896</v>
      </c>
      <c r="CP1179" s="213" t="s">
        <v>879</v>
      </c>
      <c r="CQ1179" s="213" t="s">
        <v>3703</v>
      </c>
      <c r="CR1179" s="213" t="s">
        <v>3703</v>
      </c>
      <c r="CS1179" s="213" t="s">
        <v>1620</v>
      </c>
      <c r="CT1179" s="213" t="s">
        <v>1621</v>
      </c>
      <c r="CU1179" s="213" t="s">
        <v>2206</v>
      </c>
      <c r="CV1179" s="214" t="s">
        <v>2207</v>
      </c>
      <c r="CX1179" s="212">
        <v>1</v>
      </c>
    </row>
    <row r="1180" spans="91:102" ht="21" customHeight="1">
      <c r="CM1180" s="210"/>
      <c r="CN1180" s="213" t="s">
        <v>3704</v>
      </c>
      <c r="CO1180" s="213" t="s">
        <v>896</v>
      </c>
      <c r="CP1180" s="213" t="s">
        <v>879</v>
      </c>
      <c r="CQ1180" s="213" t="s">
        <v>3705</v>
      </c>
      <c r="CR1180" s="213" t="s">
        <v>3705</v>
      </c>
      <c r="CS1180" s="213" t="s">
        <v>1620</v>
      </c>
      <c r="CT1180" s="213" t="s">
        <v>1621</v>
      </c>
      <c r="CU1180" s="213" t="s">
        <v>2206</v>
      </c>
      <c r="CV1180" s="214" t="s">
        <v>2207</v>
      </c>
      <c r="CX1180" s="212">
        <v>1</v>
      </c>
    </row>
    <row r="1181" spans="91:102" ht="21" customHeight="1">
      <c r="CM1181" s="210"/>
      <c r="CN1181" s="213" t="s">
        <v>3706</v>
      </c>
      <c r="CO1181" s="213" t="s">
        <v>896</v>
      </c>
      <c r="CP1181" s="213" t="s">
        <v>879</v>
      </c>
      <c r="CQ1181" s="213" t="s">
        <v>3707</v>
      </c>
      <c r="CR1181" s="213" t="s">
        <v>3707</v>
      </c>
      <c r="CS1181" s="213" t="s">
        <v>1620</v>
      </c>
      <c r="CT1181" s="213" t="s">
        <v>1621</v>
      </c>
      <c r="CU1181" s="213" t="s">
        <v>2206</v>
      </c>
      <c r="CV1181" s="214" t="s">
        <v>2207</v>
      </c>
      <c r="CX1181" s="212">
        <v>1</v>
      </c>
    </row>
    <row r="1182" spans="91:102" ht="21" customHeight="1">
      <c r="CM1182" s="210"/>
      <c r="CN1182" s="213" t="s">
        <v>3708</v>
      </c>
      <c r="CO1182" s="213" t="s">
        <v>896</v>
      </c>
      <c r="CP1182" s="213" t="s">
        <v>879</v>
      </c>
      <c r="CQ1182" s="213" t="s">
        <v>3709</v>
      </c>
      <c r="CR1182" s="213" t="s">
        <v>3709</v>
      </c>
      <c r="CS1182" s="213" t="s">
        <v>1620</v>
      </c>
      <c r="CT1182" s="213" t="s">
        <v>1621</v>
      </c>
      <c r="CU1182" s="213" t="s">
        <v>2206</v>
      </c>
      <c r="CV1182" s="214" t="s">
        <v>2207</v>
      </c>
      <c r="CX1182" s="212">
        <v>1</v>
      </c>
    </row>
    <row r="1183" spans="91:102" ht="21" customHeight="1">
      <c r="CM1183" s="210"/>
      <c r="CN1183" s="213" t="s">
        <v>3710</v>
      </c>
      <c r="CO1183" s="213" t="s">
        <v>896</v>
      </c>
      <c r="CP1183" s="213" t="s">
        <v>879</v>
      </c>
      <c r="CQ1183" s="213" t="s">
        <v>3711</v>
      </c>
      <c r="CR1183" s="213" t="s">
        <v>3711</v>
      </c>
      <c r="CS1183" s="213" t="s">
        <v>1620</v>
      </c>
      <c r="CT1183" s="213" t="s">
        <v>1621</v>
      </c>
      <c r="CU1183" s="213" t="s">
        <v>2206</v>
      </c>
      <c r="CV1183" s="214" t="s">
        <v>2207</v>
      </c>
      <c r="CX1183" s="212">
        <v>1</v>
      </c>
    </row>
    <row r="1184" spans="91:102" ht="21" customHeight="1">
      <c r="CM1184" s="210"/>
      <c r="CN1184" s="213" t="s">
        <v>3712</v>
      </c>
      <c r="CO1184" s="213" t="s">
        <v>896</v>
      </c>
      <c r="CP1184" s="213" t="s">
        <v>879</v>
      </c>
      <c r="CQ1184" s="213" t="s">
        <v>3713</v>
      </c>
      <c r="CR1184" s="213" t="s">
        <v>3713</v>
      </c>
      <c r="CS1184" s="213" t="s">
        <v>1620</v>
      </c>
      <c r="CT1184" s="213" t="s">
        <v>1621</v>
      </c>
      <c r="CU1184" s="213" t="s">
        <v>2206</v>
      </c>
      <c r="CV1184" s="214" t="s">
        <v>2207</v>
      </c>
      <c r="CX1184" s="212">
        <v>1</v>
      </c>
    </row>
    <row r="1185" spans="91:102" ht="21" customHeight="1">
      <c r="CM1185" s="210"/>
      <c r="CN1185" s="213" t="s">
        <v>3714</v>
      </c>
      <c r="CO1185" s="213" t="s">
        <v>896</v>
      </c>
      <c r="CP1185" s="213" t="s">
        <v>879</v>
      </c>
      <c r="CQ1185" s="213" t="s">
        <v>3715</v>
      </c>
      <c r="CR1185" s="213" t="s">
        <v>3715</v>
      </c>
      <c r="CS1185" s="213" t="s">
        <v>971</v>
      </c>
      <c r="CT1185" s="213" t="s">
        <v>972</v>
      </c>
      <c r="CU1185" s="213" t="s">
        <v>883</v>
      </c>
      <c r="CV1185" s="214" t="s">
        <v>973</v>
      </c>
      <c r="CX1185" s="212">
        <v>1</v>
      </c>
    </row>
    <row r="1186" spans="91:102" ht="21" customHeight="1">
      <c r="CM1186" s="210"/>
      <c r="CN1186" s="213" t="s">
        <v>3716</v>
      </c>
      <c r="CO1186" s="213" t="s">
        <v>896</v>
      </c>
      <c r="CP1186" s="213" t="s">
        <v>879</v>
      </c>
      <c r="CQ1186" s="213" t="s">
        <v>3717</v>
      </c>
      <c r="CR1186" s="213" t="s">
        <v>3717</v>
      </c>
      <c r="CS1186" s="213" t="s">
        <v>1620</v>
      </c>
      <c r="CT1186" s="213" t="s">
        <v>1621</v>
      </c>
      <c r="CU1186" s="213" t="s">
        <v>2206</v>
      </c>
      <c r="CV1186" s="214" t="s">
        <v>2207</v>
      </c>
      <c r="CX1186" s="212">
        <v>1</v>
      </c>
    </row>
    <row r="1187" spans="91:102" ht="21" customHeight="1">
      <c r="CM1187" s="210"/>
      <c r="CN1187" s="213" t="s">
        <v>3718</v>
      </c>
      <c r="CO1187" s="213" t="s">
        <v>896</v>
      </c>
      <c r="CP1187" s="213" t="s">
        <v>879</v>
      </c>
      <c r="CQ1187" s="213" t="s">
        <v>3719</v>
      </c>
      <c r="CR1187" s="213" t="s">
        <v>3719</v>
      </c>
      <c r="CS1187" s="213" t="s">
        <v>1620</v>
      </c>
      <c r="CT1187" s="213" t="s">
        <v>1621</v>
      </c>
      <c r="CU1187" s="213" t="s">
        <v>2206</v>
      </c>
      <c r="CV1187" s="214" t="s">
        <v>2207</v>
      </c>
      <c r="CX1187" s="212">
        <v>1</v>
      </c>
    </row>
    <row r="1188" spans="91:102" ht="21" customHeight="1">
      <c r="CM1188" s="210"/>
      <c r="CN1188" s="213" t="s">
        <v>3720</v>
      </c>
      <c r="CO1188" s="213" t="s">
        <v>896</v>
      </c>
      <c r="CP1188" s="213" t="s">
        <v>879</v>
      </c>
      <c r="CQ1188" s="213" t="s">
        <v>3721</v>
      </c>
      <c r="CR1188" s="213" t="s">
        <v>3721</v>
      </c>
      <c r="CS1188" s="213" t="s">
        <v>1620</v>
      </c>
      <c r="CT1188" s="213" t="s">
        <v>1621</v>
      </c>
      <c r="CU1188" s="213" t="s">
        <v>2206</v>
      </c>
      <c r="CV1188" s="214" t="s">
        <v>2207</v>
      </c>
      <c r="CX1188" s="212">
        <v>1</v>
      </c>
    </row>
    <row r="1189" spans="91:102" ht="21" customHeight="1">
      <c r="CM1189" s="210"/>
      <c r="CN1189" s="213" t="s">
        <v>3722</v>
      </c>
      <c r="CO1189" s="213" t="s">
        <v>896</v>
      </c>
      <c r="CP1189" s="213" t="s">
        <v>879</v>
      </c>
      <c r="CQ1189" s="213" t="s">
        <v>3723</v>
      </c>
      <c r="CR1189" s="213" t="s">
        <v>3723</v>
      </c>
      <c r="CS1189" s="213" t="s">
        <v>1620</v>
      </c>
      <c r="CT1189" s="213" t="s">
        <v>1621</v>
      </c>
      <c r="CU1189" s="213" t="s">
        <v>2206</v>
      </c>
      <c r="CV1189" s="214" t="s">
        <v>2207</v>
      </c>
      <c r="CX1189" s="212">
        <v>1</v>
      </c>
    </row>
    <row r="1190" spans="91:102" ht="21" customHeight="1">
      <c r="CM1190" s="210"/>
      <c r="CN1190" s="213" t="s">
        <v>3724</v>
      </c>
      <c r="CO1190" s="213" t="s">
        <v>896</v>
      </c>
      <c r="CP1190" s="213" t="s">
        <v>879</v>
      </c>
      <c r="CQ1190" s="213" t="s">
        <v>3725</v>
      </c>
      <c r="CR1190" s="213" t="s">
        <v>3725</v>
      </c>
      <c r="CS1190" s="213" t="s">
        <v>1620</v>
      </c>
      <c r="CT1190" s="213" t="s">
        <v>1621</v>
      </c>
      <c r="CU1190" s="213" t="s">
        <v>2206</v>
      </c>
      <c r="CV1190" s="214" t="s">
        <v>2207</v>
      </c>
      <c r="CX1190" s="212">
        <v>1</v>
      </c>
    </row>
    <row r="1191" spans="91:102" ht="21" customHeight="1">
      <c r="CM1191" s="210"/>
      <c r="CN1191" s="213" t="s">
        <v>3726</v>
      </c>
      <c r="CO1191" s="213" t="s">
        <v>896</v>
      </c>
      <c r="CP1191" s="213" t="s">
        <v>879</v>
      </c>
      <c r="CQ1191" s="213" t="s">
        <v>3727</v>
      </c>
      <c r="CR1191" s="213" t="s">
        <v>3727</v>
      </c>
      <c r="CS1191" s="213" t="s">
        <v>1620</v>
      </c>
      <c r="CT1191" s="213" t="s">
        <v>1621</v>
      </c>
      <c r="CU1191" s="213" t="s">
        <v>2206</v>
      </c>
      <c r="CV1191" s="214" t="s">
        <v>2207</v>
      </c>
      <c r="CX1191" s="212">
        <v>1</v>
      </c>
    </row>
    <row r="1192" spans="91:102" ht="21" customHeight="1">
      <c r="CM1192" s="210"/>
      <c r="CN1192" s="213" t="s">
        <v>3728</v>
      </c>
      <c r="CO1192" s="213" t="s">
        <v>896</v>
      </c>
      <c r="CP1192" s="213" t="s">
        <v>879</v>
      </c>
      <c r="CQ1192" s="213" t="s">
        <v>3729</v>
      </c>
      <c r="CR1192" s="213" t="s">
        <v>3729</v>
      </c>
      <c r="CS1192" s="213" t="s">
        <v>881</v>
      </c>
      <c r="CT1192" s="213" t="s">
        <v>2289</v>
      </c>
      <c r="CU1192" s="213" t="s">
        <v>883</v>
      </c>
      <c r="CV1192" s="214" t="s">
        <v>884</v>
      </c>
      <c r="CX1192" s="212">
        <v>1</v>
      </c>
    </row>
    <row r="1193" spans="91:102" ht="21" customHeight="1">
      <c r="CM1193" s="210"/>
      <c r="CN1193" s="213" t="s">
        <v>3730</v>
      </c>
      <c r="CO1193" s="213" t="s">
        <v>896</v>
      </c>
      <c r="CP1193" s="213" t="s">
        <v>879</v>
      </c>
      <c r="CQ1193" s="213" t="s">
        <v>3731</v>
      </c>
      <c r="CR1193" s="213" t="s">
        <v>3731</v>
      </c>
      <c r="CS1193" s="213" t="s">
        <v>881</v>
      </c>
      <c r="CT1193" s="213" t="s">
        <v>2289</v>
      </c>
      <c r="CU1193" s="213" t="s">
        <v>883</v>
      </c>
      <c r="CV1193" s="214" t="s">
        <v>884</v>
      </c>
      <c r="CX1193" s="212">
        <v>1</v>
      </c>
    </row>
    <row r="1194" spans="91:102" ht="21" customHeight="1">
      <c r="CM1194" s="210"/>
      <c r="CN1194" s="213" t="s">
        <v>3732</v>
      </c>
      <c r="CO1194" s="213" t="s">
        <v>896</v>
      </c>
      <c r="CP1194" s="213" t="s">
        <v>879</v>
      </c>
      <c r="CQ1194" s="213" t="s">
        <v>3733</v>
      </c>
      <c r="CR1194" s="213" t="s">
        <v>3733</v>
      </c>
      <c r="CS1194" s="213" t="s">
        <v>1620</v>
      </c>
      <c r="CT1194" s="213" t="s">
        <v>1621</v>
      </c>
      <c r="CU1194" s="213" t="s">
        <v>2206</v>
      </c>
      <c r="CV1194" s="214" t="s">
        <v>2207</v>
      </c>
      <c r="CX1194" s="212">
        <v>1</v>
      </c>
    </row>
    <row r="1195" spans="91:102" ht="21" customHeight="1">
      <c r="CM1195" s="210"/>
      <c r="CN1195" s="213" t="s">
        <v>3734</v>
      </c>
      <c r="CO1195" s="213" t="s">
        <v>896</v>
      </c>
      <c r="CP1195" s="213" t="s">
        <v>879</v>
      </c>
      <c r="CQ1195" s="213" t="s">
        <v>3735</v>
      </c>
      <c r="CR1195" s="213" t="s">
        <v>3735</v>
      </c>
      <c r="CS1195" s="213" t="s">
        <v>1620</v>
      </c>
      <c r="CT1195" s="213" t="s">
        <v>1621</v>
      </c>
      <c r="CU1195" s="213" t="s">
        <v>2206</v>
      </c>
      <c r="CV1195" s="214" t="s">
        <v>2207</v>
      </c>
      <c r="CX1195" s="212">
        <v>1</v>
      </c>
    </row>
    <row r="1196" spans="91:102" ht="21" customHeight="1">
      <c r="CM1196" s="210"/>
      <c r="CN1196" s="213" t="s">
        <v>3736</v>
      </c>
      <c r="CO1196" s="213" t="s">
        <v>896</v>
      </c>
      <c r="CP1196" s="213" t="s">
        <v>879</v>
      </c>
      <c r="CQ1196" s="213" t="s">
        <v>3737</v>
      </c>
      <c r="CR1196" s="213" t="s">
        <v>3737</v>
      </c>
      <c r="CS1196" s="213" t="s">
        <v>1620</v>
      </c>
      <c r="CT1196" s="213" t="s">
        <v>1621</v>
      </c>
      <c r="CU1196" s="213" t="s">
        <v>2206</v>
      </c>
      <c r="CV1196" s="214" t="s">
        <v>2207</v>
      </c>
      <c r="CX1196" s="212">
        <v>1</v>
      </c>
    </row>
    <row r="1197" spans="91:102" ht="21" customHeight="1">
      <c r="CM1197" s="210"/>
      <c r="CN1197" s="213" t="s">
        <v>3738</v>
      </c>
      <c r="CO1197" s="213" t="s">
        <v>896</v>
      </c>
      <c r="CP1197" s="213" t="s">
        <v>879</v>
      </c>
      <c r="CQ1197" s="213" t="s">
        <v>3739</v>
      </c>
      <c r="CR1197" s="213" t="s">
        <v>3739</v>
      </c>
      <c r="CS1197" s="213" t="s">
        <v>1620</v>
      </c>
      <c r="CT1197" s="213" t="s">
        <v>1621</v>
      </c>
      <c r="CU1197" s="213" t="s">
        <v>2206</v>
      </c>
      <c r="CV1197" s="214" t="s">
        <v>2207</v>
      </c>
      <c r="CX1197" s="212">
        <v>1</v>
      </c>
    </row>
    <row r="1198" spans="91:102" ht="21" customHeight="1">
      <c r="CM1198" s="210"/>
      <c r="CN1198" s="213" t="s">
        <v>3740</v>
      </c>
      <c r="CO1198" s="213" t="s">
        <v>896</v>
      </c>
      <c r="CP1198" s="213" t="s">
        <v>879</v>
      </c>
      <c r="CQ1198" s="213" t="s">
        <v>3741</v>
      </c>
      <c r="CR1198" s="213" t="s">
        <v>3741</v>
      </c>
      <c r="CS1198" s="213" t="s">
        <v>1620</v>
      </c>
      <c r="CT1198" s="213" t="s">
        <v>1621</v>
      </c>
      <c r="CU1198" s="213" t="s">
        <v>2206</v>
      </c>
      <c r="CV1198" s="214" t="s">
        <v>2207</v>
      </c>
      <c r="CX1198" s="212">
        <v>1</v>
      </c>
    </row>
    <row r="1199" spans="91:102" ht="21" customHeight="1">
      <c r="CM1199" s="210"/>
      <c r="CN1199" s="213" t="s">
        <v>3742</v>
      </c>
      <c r="CO1199" s="213" t="s">
        <v>896</v>
      </c>
      <c r="CP1199" s="213" t="s">
        <v>879</v>
      </c>
      <c r="CQ1199" s="213" t="s">
        <v>3743</v>
      </c>
      <c r="CR1199" s="213" t="s">
        <v>3743</v>
      </c>
      <c r="CS1199" s="213" t="s">
        <v>1620</v>
      </c>
      <c r="CT1199" s="213" t="s">
        <v>1621</v>
      </c>
      <c r="CU1199" s="213" t="s">
        <v>2206</v>
      </c>
      <c r="CV1199" s="214" t="s">
        <v>2207</v>
      </c>
      <c r="CX1199" s="212">
        <v>1</v>
      </c>
    </row>
    <row r="1200" spans="91:102" ht="21" customHeight="1">
      <c r="CM1200" s="210"/>
      <c r="CN1200" s="213" t="s">
        <v>3744</v>
      </c>
      <c r="CO1200" s="213" t="s">
        <v>896</v>
      </c>
      <c r="CP1200" s="213" t="s">
        <v>879</v>
      </c>
      <c r="CQ1200" s="213" t="s">
        <v>3745</v>
      </c>
      <c r="CR1200" s="213" t="s">
        <v>3745</v>
      </c>
      <c r="CS1200" s="213" t="s">
        <v>1620</v>
      </c>
      <c r="CT1200" s="213" t="s">
        <v>1621</v>
      </c>
      <c r="CU1200" s="213" t="s">
        <v>2206</v>
      </c>
      <c r="CV1200" s="214" t="s">
        <v>2207</v>
      </c>
      <c r="CX1200" s="212">
        <v>1</v>
      </c>
    </row>
    <row r="1201" spans="91:102" ht="21" customHeight="1">
      <c r="CM1201" s="210"/>
      <c r="CN1201" s="213" t="s">
        <v>3746</v>
      </c>
      <c r="CO1201" s="213" t="s">
        <v>896</v>
      </c>
      <c r="CP1201" s="213" t="s">
        <v>879</v>
      </c>
      <c r="CQ1201" s="213" t="s">
        <v>3747</v>
      </c>
      <c r="CR1201" s="213" t="s">
        <v>3747</v>
      </c>
      <c r="CS1201" s="213" t="s">
        <v>1620</v>
      </c>
      <c r="CT1201" s="213" t="s">
        <v>1621</v>
      </c>
      <c r="CU1201" s="213" t="s">
        <v>2206</v>
      </c>
      <c r="CV1201" s="214" t="s">
        <v>2207</v>
      </c>
      <c r="CX1201" s="212">
        <v>1</v>
      </c>
    </row>
    <row r="1202" spans="91:102" ht="21" customHeight="1">
      <c r="CM1202" s="210"/>
      <c r="CN1202" s="213" t="s">
        <v>3748</v>
      </c>
      <c r="CO1202" s="213" t="s">
        <v>896</v>
      </c>
      <c r="CP1202" s="213" t="s">
        <v>879</v>
      </c>
      <c r="CQ1202" s="213" t="s">
        <v>3749</v>
      </c>
      <c r="CR1202" s="213" t="s">
        <v>3749</v>
      </c>
      <c r="CS1202" s="213" t="s">
        <v>1620</v>
      </c>
      <c r="CT1202" s="213" t="s">
        <v>1621</v>
      </c>
      <c r="CU1202" s="213" t="s">
        <v>2206</v>
      </c>
      <c r="CV1202" s="214" t="s">
        <v>2207</v>
      </c>
      <c r="CX1202" s="212">
        <v>1</v>
      </c>
    </row>
    <row r="1203" spans="91:102" ht="21" customHeight="1">
      <c r="CM1203" s="210"/>
      <c r="CN1203" s="213" t="s">
        <v>3750</v>
      </c>
      <c r="CO1203" s="213" t="s">
        <v>896</v>
      </c>
      <c r="CP1203" s="213" t="s">
        <v>879</v>
      </c>
      <c r="CQ1203" s="213" t="s">
        <v>3751</v>
      </c>
      <c r="CR1203" s="213" t="s">
        <v>3751</v>
      </c>
      <c r="CS1203" s="213" t="s">
        <v>1620</v>
      </c>
      <c r="CT1203" s="213" t="s">
        <v>1621</v>
      </c>
      <c r="CU1203" s="213" t="s">
        <v>2206</v>
      </c>
      <c r="CV1203" s="214" t="s">
        <v>2207</v>
      </c>
      <c r="CX1203" s="212">
        <v>1</v>
      </c>
    </row>
    <row r="1204" spans="91:102" ht="21" customHeight="1">
      <c r="CM1204" s="210"/>
      <c r="CN1204" s="213" t="s">
        <v>3752</v>
      </c>
      <c r="CO1204" s="213" t="s">
        <v>896</v>
      </c>
      <c r="CP1204" s="213" t="s">
        <v>879</v>
      </c>
      <c r="CQ1204" s="213" t="s">
        <v>3753</v>
      </c>
      <c r="CR1204" s="213" t="s">
        <v>3753</v>
      </c>
      <c r="CS1204" s="213" t="s">
        <v>1620</v>
      </c>
      <c r="CT1204" s="213" t="s">
        <v>1621</v>
      </c>
      <c r="CU1204" s="213" t="s">
        <v>2206</v>
      </c>
      <c r="CV1204" s="214" t="s">
        <v>2207</v>
      </c>
      <c r="CX1204" s="212">
        <v>1</v>
      </c>
    </row>
    <row r="1205" spans="91:102" ht="21" customHeight="1">
      <c r="CM1205" s="210"/>
      <c r="CN1205" s="213" t="s">
        <v>3754</v>
      </c>
      <c r="CO1205" s="213" t="s">
        <v>896</v>
      </c>
      <c r="CP1205" s="213" t="s">
        <v>879</v>
      </c>
      <c r="CQ1205" s="213" t="s">
        <v>3755</v>
      </c>
      <c r="CR1205" s="213" t="s">
        <v>3755</v>
      </c>
      <c r="CS1205" s="213" t="s">
        <v>971</v>
      </c>
      <c r="CT1205" s="213" t="s">
        <v>972</v>
      </c>
      <c r="CU1205" s="213" t="s">
        <v>883</v>
      </c>
      <c r="CV1205" s="214" t="s">
        <v>973</v>
      </c>
      <c r="CX1205" s="212">
        <v>1</v>
      </c>
    </row>
    <row r="1206" spans="91:102" ht="21" customHeight="1">
      <c r="CM1206" s="210"/>
      <c r="CN1206" s="213" t="s">
        <v>3756</v>
      </c>
      <c r="CO1206" s="213" t="s">
        <v>896</v>
      </c>
      <c r="CP1206" s="213" t="s">
        <v>879</v>
      </c>
      <c r="CQ1206" s="213" t="s">
        <v>3757</v>
      </c>
      <c r="CR1206" s="213" t="s">
        <v>3757</v>
      </c>
      <c r="CS1206" s="213" t="s">
        <v>971</v>
      </c>
      <c r="CT1206" s="213" t="s">
        <v>972</v>
      </c>
      <c r="CU1206" s="213" t="s">
        <v>883</v>
      </c>
      <c r="CV1206" s="214" t="s">
        <v>973</v>
      </c>
      <c r="CX1206" s="212">
        <v>1</v>
      </c>
    </row>
    <row r="1207" spans="91:102" ht="21" customHeight="1">
      <c r="CM1207" s="210"/>
      <c r="CN1207" s="213" t="s">
        <v>3758</v>
      </c>
      <c r="CO1207" s="213" t="s">
        <v>896</v>
      </c>
      <c r="CP1207" s="213" t="s">
        <v>879</v>
      </c>
      <c r="CQ1207" s="213" t="s">
        <v>3759</v>
      </c>
      <c r="CR1207" s="213" t="s">
        <v>3759</v>
      </c>
      <c r="CS1207" s="213" t="s">
        <v>971</v>
      </c>
      <c r="CT1207" s="213" t="s">
        <v>972</v>
      </c>
      <c r="CU1207" s="213" t="s">
        <v>883</v>
      </c>
      <c r="CV1207" s="214" t="s">
        <v>973</v>
      </c>
      <c r="CX1207" s="212">
        <v>1</v>
      </c>
    </row>
    <row r="1208" spans="91:102" ht="21" customHeight="1">
      <c r="CM1208" s="210"/>
      <c r="CN1208" s="213" t="s">
        <v>3760</v>
      </c>
      <c r="CO1208" s="213" t="s">
        <v>896</v>
      </c>
      <c r="CP1208" s="213" t="s">
        <v>879</v>
      </c>
      <c r="CQ1208" s="213" t="s">
        <v>3761</v>
      </c>
      <c r="CR1208" s="213" t="s">
        <v>3761</v>
      </c>
      <c r="CS1208" s="213" t="s">
        <v>971</v>
      </c>
      <c r="CT1208" s="213" t="s">
        <v>972</v>
      </c>
      <c r="CU1208" s="213" t="s">
        <v>883</v>
      </c>
      <c r="CV1208" s="214" t="s">
        <v>973</v>
      </c>
      <c r="CX1208" s="212">
        <v>1</v>
      </c>
    </row>
    <row r="1209" spans="91:102" ht="21" customHeight="1">
      <c r="CM1209" s="210"/>
      <c r="CN1209" s="213" t="s">
        <v>3762</v>
      </c>
      <c r="CO1209" s="213" t="s">
        <v>896</v>
      </c>
      <c r="CP1209" s="213" t="s">
        <v>879</v>
      </c>
      <c r="CQ1209" s="213" t="s">
        <v>3763</v>
      </c>
      <c r="CR1209" s="213" t="s">
        <v>3763</v>
      </c>
      <c r="CS1209" s="213" t="s">
        <v>1620</v>
      </c>
      <c r="CT1209" s="213" t="s">
        <v>1621</v>
      </c>
      <c r="CU1209" s="213" t="s">
        <v>2206</v>
      </c>
      <c r="CV1209" s="214" t="s">
        <v>2207</v>
      </c>
      <c r="CX1209" s="212">
        <v>1</v>
      </c>
    </row>
    <row r="1210" spans="91:102" ht="21" customHeight="1">
      <c r="CM1210" s="210"/>
      <c r="CN1210" s="213" t="s">
        <v>3764</v>
      </c>
      <c r="CO1210" s="213" t="s">
        <v>896</v>
      </c>
      <c r="CP1210" s="213" t="s">
        <v>879</v>
      </c>
      <c r="CQ1210" s="213" t="s">
        <v>3765</v>
      </c>
      <c r="CR1210" s="213" t="s">
        <v>3765</v>
      </c>
      <c r="CS1210" s="213" t="s">
        <v>1620</v>
      </c>
      <c r="CT1210" s="213" t="s">
        <v>1621</v>
      </c>
      <c r="CU1210" s="213" t="s">
        <v>2206</v>
      </c>
      <c r="CV1210" s="214" t="s">
        <v>2207</v>
      </c>
      <c r="CX1210" s="212">
        <v>1</v>
      </c>
    </row>
    <row r="1211" spans="91:102" ht="21" customHeight="1">
      <c r="CM1211" s="210"/>
      <c r="CN1211" s="213" t="s">
        <v>3766</v>
      </c>
      <c r="CO1211" s="213" t="s">
        <v>896</v>
      </c>
      <c r="CP1211" s="213" t="s">
        <v>879</v>
      </c>
      <c r="CQ1211" s="213" t="s">
        <v>3767</v>
      </c>
      <c r="CR1211" s="213" t="s">
        <v>3767</v>
      </c>
      <c r="CS1211" s="213" t="s">
        <v>1620</v>
      </c>
      <c r="CT1211" s="213" t="s">
        <v>1621</v>
      </c>
      <c r="CU1211" s="213" t="s">
        <v>2206</v>
      </c>
      <c r="CV1211" s="214" t="s">
        <v>2207</v>
      </c>
      <c r="CX1211" s="212">
        <v>1</v>
      </c>
    </row>
    <row r="1212" spans="91:102" ht="21" customHeight="1">
      <c r="CM1212" s="210"/>
      <c r="CN1212" s="213" t="s">
        <v>3768</v>
      </c>
      <c r="CO1212" s="213" t="s">
        <v>896</v>
      </c>
      <c r="CP1212" s="213" t="s">
        <v>879</v>
      </c>
      <c r="CQ1212" s="213" t="s">
        <v>3769</v>
      </c>
      <c r="CR1212" s="213" t="s">
        <v>3769</v>
      </c>
      <c r="CS1212" s="213" t="s">
        <v>1620</v>
      </c>
      <c r="CT1212" s="213" t="s">
        <v>1621</v>
      </c>
      <c r="CU1212" s="213" t="s">
        <v>2206</v>
      </c>
      <c r="CV1212" s="214" t="s">
        <v>2207</v>
      </c>
      <c r="CX1212" s="212">
        <v>1</v>
      </c>
    </row>
    <row r="1213" spans="91:102" ht="21" customHeight="1">
      <c r="CM1213" s="210"/>
      <c r="CN1213" s="213" t="s">
        <v>3770</v>
      </c>
      <c r="CO1213" s="213" t="s">
        <v>896</v>
      </c>
      <c r="CP1213" s="213" t="s">
        <v>879</v>
      </c>
      <c r="CQ1213" s="213" t="s">
        <v>3771</v>
      </c>
      <c r="CR1213" s="213" t="s">
        <v>3771</v>
      </c>
      <c r="CS1213" s="213" t="s">
        <v>1620</v>
      </c>
      <c r="CT1213" s="213" t="s">
        <v>1621</v>
      </c>
      <c r="CU1213" s="213" t="s">
        <v>2206</v>
      </c>
      <c r="CV1213" s="214" t="s">
        <v>2207</v>
      </c>
      <c r="CX1213" s="212">
        <v>1</v>
      </c>
    </row>
    <row r="1214" spans="91:102" ht="21" customHeight="1">
      <c r="CM1214" s="210"/>
      <c r="CN1214" s="213" t="s">
        <v>3772</v>
      </c>
      <c r="CO1214" s="213" t="s">
        <v>896</v>
      </c>
      <c r="CP1214" s="213" t="s">
        <v>879</v>
      </c>
      <c r="CQ1214" s="213" t="s">
        <v>3773</v>
      </c>
      <c r="CR1214" s="213" t="s">
        <v>3773</v>
      </c>
      <c r="CS1214" s="213" t="s">
        <v>1620</v>
      </c>
      <c r="CT1214" s="213" t="s">
        <v>1621</v>
      </c>
      <c r="CU1214" s="213" t="s">
        <v>2206</v>
      </c>
      <c r="CV1214" s="214" t="s">
        <v>2207</v>
      </c>
      <c r="CX1214" s="212">
        <v>1</v>
      </c>
    </row>
    <row r="1215" spans="91:102" ht="21" customHeight="1">
      <c r="CM1215" s="210"/>
      <c r="CN1215" s="213" t="s">
        <v>3774</v>
      </c>
      <c r="CO1215" s="213" t="s">
        <v>896</v>
      </c>
      <c r="CP1215" s="213" t="s">
        <v>879</v>
      </c>
      <c r="CQ1215" s="213" t="s">
        <v>3775</v>
      </c>
      <c r="CR1215" s="213" t="s">
        <v>3775</v>
      </c>
      <c r="CS1215" s="213" t="s">
        <v>1620</v>
      </c>
      <c r="CT1215" s="213" t="s">
        <v>1621</v>
      </c>
      <c r="CU1215" s="213" t="s">
        <v>2206</v>
      </c>
      <c r="CV1215" s="214" t="s">
        <v>2207</v>
      </c>
      <c r="CX1215" s="212">
        <v>1</v>
      </c>
    </row>
    <row r="1216" spans="91:102" ht="21" customHeight="1">
      <c r="CM1216" s="210"/>
      <c r="CN1216" s="213" t="s">
        <v>3776</v>
      </c>
      <c r="CO1216" s="213" t="s">
        <v>896</v>
      </c>
      <c r="CP1216" s="213" t="s">
        <v>879</v>
      </c>
      <c r="CQ1216" s="213" t="s">
        <v>3777</v>
      </c>
      <c r="CR1216" s="213" t="s">
        <v>3777</v>
      </c>
      <c r="CS1216" s="213" t="s">
        <v>1620</v>
      </c>
      <c r="CT1216" s="213" t="s">
        <v>1621</v>
      </c>
      <c r="CU1216" s="213" t="s">
        <v>2206</v>
      </c>
      <c r="CV1216" s="214" t="s">
        <v>2207</v>
      </c>
      <c r="CX1216" s="212">
        <v>1</v>
      </c>
    </row>
    <row r="1217" spans="91:102" ht="21" customHeight="1">
      <c r="CM1217" s="210"/>
      <c r="CN1217" s="213" t="s">
        <v>3778</v>
      </c>
      <c r="CO1217" s="213" t="s">
        <v>896</v>
      </c>
      <c r="CP1217" s="213" t="s">
        <v>879</v>
      </c>
      <c r="CQ1217" s="213" t="s">
        <v>3779</v>
      </c>
      <c r="CR1217" s="213" t="s">
        <v>3779</v>
      </c>
      <c r="CS1217" s="213" t="s">
        <v>1620</v>
      </c>
      <c r="CT1217" s="213" t="s">
        <v>1621</v>
      </c>
      <c r="CU1217" s="213" t="s">
        <v>2206</v>
      </c>
      <c r="CV1217" s="214" t="s">
        <v>2207</v>
      </c>
      <c r="CX1217" s="212">
        <v>1</v>
      </c>
    </row>
    <row r="1218" spans="91:102" ht="21" customHeight="1">
      <c r="CM1218" s="210"/>
      <c r="CN1218" s="213" t="s">
        <v>3780</v>
      </c>
      <c r="CO1218" s="213" t="s">
        <v>896</v>
      </c>
      <c r="CP1218" s="213" t="s">
        <v>879</v>
      </c>
      <c r="CQ1218" s="213" t="s">
        <v>3781</v>
      </c>
      <c r="CR1218" s="213" t="s">
        <v>3781</v>
      </c>
      <c r="CS1218" s="213" t="s">
        <v>1620</v>
      </c>
      <c r="CT1218" s="213" t="s">
        <v>1621</v>
      </c>
      <c r="CU1218" s="213" t="s">
        <v>2206</v>
      </c>
      <c r="CV1218" s="214" t="s">
        <v>2207</v>
      </c>
      <c r="CX1218" s="212">
        <v>1</v>
      </c>
    </row>
    <row r="1219" spans="91:102" ht="21" customHeight="1">
      <c r="CM1219" s="210"/>
      <c r="CN1219" s="213" t="s">
        <v>3782</v>
      </c>
      <c r="CO1219" s="213" t="s">
        <v>896</v>
      </c>
      <c r="CP1219" s="213" t="s">
        <v>879</v>
      </c>
      <c r="CQ1219" s="213" t="s">
        <v>3783</v>
      </c>
      <c r="CR1219" s="213" t="s">
        <v>3783</v>
      </c>
      <c r="CS1219" s="213" t="s">
        <v>1620</v>
      </c>
      <c r="CT1219" s="213" t="s">
        <v>1621</v>
      </c>
      <c r="CU1219" s="213" t="s">
        <v>2206</v>
      </c>
      <c r="CV1219" s="214" t="s">
        <v>2207</v>
      </c>
      <c r="CX1219" s="212">
        <v>1</v>
      </c>
    </row>
    <row r="1220" spans="91:102" ht="21" customHeight="1">
      <c r="CM1220" s="210"/>
      <c r="CN1220" s="213" t="s">
        <v>3784</v>
      </c>
      <c r="CO1220" s="213" t="s">
        <v>896</v>
      </c>
      <c r="CP1220" s="213" t="s">
        <v>879</v>
      </c>
      <c r="CQ1220" s="213" t="s">
        <v>3785</v>
      </c>
      <c r="CR1220" s="213" t="s">
        <v>3785</v>
      </c>
      <c r="CS1220" s="213" t="s">
        <v>1620</v>
      </c>
      <c r="CT1220" s="213" t="s">
        <v>1621</v>
      </c>
      <c r="CU1220" s="213" t="s">
        <v>2206</v>
      </c>
      <c r="CV1220" s="214" t="s">
        <v>2207</v>
      </c>
      <c r="CX1220" s="212">
        <v>1</v>
      </c>
    </row>
    <row r="1221" spans="91:102" ht="21" customHeight="1">
      <c r="CM1221" s="210"/>
      <c r="CN1221" s="213" t="s">
        <v>3786</v>
      </c>
      <c r="CO1221" s="213" t="s">
        <v>896</v>
      </c>
      <c r="CP1221" s="213" t="s">
        <v>879</v>
      </c>
      <c r="CQ1221" s="213" t="s">
        <v>3787</v>
      </c>
      <c r="CR1221" s="213" t="s">
        <v>3787</v>
      </c>
      <c r="CS1221" s="213" t="s">
        <v>1620</v>
      </c>
      <c r="CT1221" s="213" t="s">
        <v>1621</v>
      </c>
      <c r="CU1221" s="213" t="s">
        <v>2206</v>
      </c>
      <c r="CV1221" s="214" t="s">
        <v>2207</v>
      </c>
      <c r="CX1221" s="212">
        <v>1</v>
      </c>
    </row>
    <row r="1222" spans="91:102" ht="21" customHeight="1">
      <c r="CM1222" s="210"/>
      <c r="CN1222" s="213" t="s">
        <v>3788</v>
      </c>
      <c r="CO1222" s="213" t="s">
        <v>896</v>
      </c>
      <c r="CP1222" s="213" t="s">
        <v>879</v>
      </c>
      <c r="CQ1222" s="213" t="s">
        <v>3789</v>
      </c>
      <c r="CR1222" s="213" t="s">
        <v>3789</v>
      </c>
      <c r="CS1222" s="213" t="s">
        <v>1620</v>
      </c>
      <c r="CT1222" s="213" t="s">
        <v>1621</v>
      </c>
      <c r="CU1222" s="213" t="s">
        <v>2206</v>
      </c>
      <c r="CV1222" s="214" t="s">
        <v>2207</v>
      </c>
      <c r="CX1222" s="212">
        <v>1</v>
      </c>
    </row>
    <row r="1223" spans="91:102" ht="21" customHeight="1">
      <c r="CM1223" s="210"/>
      <c r="CN1223" s="213" t="s">
        <v>3790</v>
      </c>
      <c r="CO1223" s="213" t="s">
        <v>896</v>
      </c>
      <c r="CP1223" s="213" t="s">
        <v>879</v>
      </c>
      <c r="CQ1223" s="213" t="s">
        <v>3791</v>
      </c>
      <c r="CR1223" s="213" t="s">
        <v>3791</v>
      </c>
      <c r="CS1223" s="213" t="s">
        <v>1620</v>
      </c>
      <c r="CT1223" s="213" t="s">
        <v>1621</v>
      </c>
      <c r="CU1223" s="213" t="s">
        <v>2206</v>
      </c>
      <c r="CV1223" s="214" t="s">
        <v>2207</v>
      </c>
      <c r="CX1223" s="212">
        <v>1</v>
      </c>
    </row>
    <row r="1224" spans="91:102" ht="21" customHeight="1">
      <c r="CM1224" s="210"/>
      <c r="CN1224" s="213" t="s">
        <v>3792</v>
      </c>
      <c r="CO1224" s="213" t="s">
        <v>896</v>
      </c>
      <c r="CP1224" s="213" t="s">
        <v>879</v>
      </c>
      <c r="CQ1224" s="213" t="s">
        <v>3793</v>
      </c>
      <c r="CR1224" s="213" t="s">
        <v>3793</v>
      </c>
      <c r="CS1224" s="213" t="s">
        <v>1620</v>
      </c>
      <c r="CT1224" s="213" t="s">
        <v>1621</v>
      </c>
      <c r="CU1224" s="213" t="s">
        <v>2206</v>
      </c>
      <c r="CV1224" s="214" t="s">
        <v>2207</v>
      </c>
      <c r="CX1224" s="212">
        <v>1</v>
      </c>
    </row>
    <row r="1225" spans="91:102" ht="21" customHeight="1">
      <c r="CM1225" s="210"/>
      <c r="CN1225" s="213" t="s">
        <v>3794</v>
      </c>
      <c r="CO1225" s="213" t="s">
        <v>896</v>
      </c>
      <c r="CP1225" s="213" t="s">
        <v>879</v>
      </c>
      <c r="CQ1225" s="213" t="s">
        <v>3795</v>
      </c>
      <c r="CR1225" s="213" t="s">
        <v>3795</v>
      </c>
      <c r="CS1225" s="213" t="s">
        <v>1620</v>
      </c>
      <c r="CT1225" s="213" t="s">
        <v>1621</v>
      </c>
      <c r="CU1225" s="213" t="s">
        <v>2206</v>
      </c>
      <c r="CV1225" s="214" t="s">
        <v>2207</v>
      </c>
      <c r="CX1225" s="212">
        <v>1</v>
      </c>
    </row>
    <row r="1226" spans="91:102" ht="21" customHeight="1">
      <c r="CM1226" s="210"/>
      <c r="CN1226" s="213" t="s">
        <v>3796</v>
      </c>
      <c r="CO1226" s="213" t="s">
        <v>896</v>
      </c>
      <c r="CP1226" s="213" t="s">
        <v>879</v>
      </c>
      <c r="CQ1226" s="213" t="s">
        <v>3797</v>
      </c>
      <c r="CR1226" s="213" t="s">
        <v>3797</v>
      </c>
      <c r="CS1226" s="213" t="s">
        <v>1620</v>
      </c>
      <c r="CT1226" s="213" t="s">
        <v>1621</v>
      </c>
      <c r="CU1226" s="213" t="s">
        <v>2206</v>
      </c>
      <c r="CV1226" s="214" t="s">
        <v>2207</v>
      </c>
      <c r="CX1226" s="212">
        <v>1</v>
      </c>
    </row>
    <row r="1227" spans="91:102" ht="21" customHeight="1">
      <c r="CM1227" s="210"/>
      <c r="CN1227" s="213" t="s">
        <v>3798</v>
      </c>
      <c r="CO1227" s="213" t="s">
        <v>896</v>
      </c>
      <c r="CP1227" s="213" t="s">
        <v>879</v>
      </c>
      <c r="CQ1227" s="213" t="s">
        <v>3799</v>
      </c>
      <c r="CR1227" s="213" t="s">
        <v>3799</v>
      </c>
      <c r="CS1227" s="213" t="s">
        <v>1620</v>
      </c>
      <c r="CT1227" s="213" t="s">
        <v>1621</v>
      </c>
      <c r="CU1227" s="213" t="s">
        <v>2206</v>
      </c>
      <c r="CV1227" s="214" t="s">
        <v>2207</v>
      </c>
      <c r="CX1227" s="212">
        <v>1</v>
      </c>
    </row>
    <row r="1228" spans="91:102" ht="21" customHeight="1">
      <c r="CM1228" s="210"/>
      <c r="CN1228" s="213" t="s">
        <v>3800</v>
      </c>
      <c r="CO1228" s="213" t="s">
        <v>896</v>
      </c>
      <c r="CP1228" s="213" t="s">
        <v>879</v>
      </c>
      <c r="CQ1228" s="213" t="s">
        <v>3801</v>
      </c>
      <c r="CR1228" s="213" t="s">
        <v>3801</v>
      </c>
      <c r="CS1228" s="213" t="s">
        <v>1620</v>
      </c>
      <c r="CT1228" s="213" t="s">
        <v>1621</v>
      </c>
      <c r="CU1228" s="213" t="s">
        <v>2206</v>
      </c>
      <c r="CV1228" s="214" t="s">
        <v>2207</v>
      </c>
      <c r="CX1228" s="212">
        <v>1</v>
      </c>
    </row>
    <row r="1229" spans="91:102" ht="21" customHeight="1">
      <c r="CM1229" s="210"/>
      <c r="CN1229" s="213" t="s">
        <v>3802</v>
      </c>
      <c r="CO1229" s="213" t="s">
        <v>896</v>
      </c>
      <c r="CP1229" s="213" t="s">
        <v>879</v>
      </c>
      <c r="CQ1229" s="213" t="s">
        <v>3803</v>
      </c>
      <c r="CR1229" s="213" t="s">
        <v>3803</v>
      </c>
      <c r="CS1229" s="213" t="s">
        <v>1620</v>
      </c>
      <c r="CT1229" s="213" t="s">
        <v>1621</v>
      </c>
      <c r="CU1229" s="213" t="s">
        <v>2206</v>
      </c>
      <c r="CV1229" s="214" t="s">
        <v>2207</v>
      </c>
      <c r="CX1229" s="212">
        <v>1</v>
      </c>
    </row>
    <row r="1230" spans="91:102" ht="21" customHeight="1">
      <c r="CM1230" s="210"/>
      <c r="CN1230" s="213" t="s">
        <v>3804</v>
      </c>
      <c r="CO1230" s="213" t="s">
        <v>896</v>
      </c>
      <c r="CP1230" s="213" t="s">
        <v>879</v>
      </c>
      <c r="CQ1230" s="213" t="s">
        <v>3805</v>
      </c>
      <c r="CR1230" s="213" t="s">
        <v>3805</v>
      </c>
      <c r="CS1230" s="213" t="s">
        <v>1620</v>
      </c>
      <c r="CT1230" s="213" t="s">
        <v>1621</v>
      </c>
      <c r="CU1230" s="213" t="s">
        <v>2206</v>
      </c>
      <c r="CV1230" s="214" t="s">
        <v>2207</v>
      </c>
      <c r="CX1230" s="212">
        <v>1</v>
      </c>
    </row>
    <row r="1231" spans="91:102" ht="21" customHeight="1">
      <c r="CM1231" s="210"/>
      <c r="CN1231" s="213" t="s">
        <v>3806</v>
      </c>
      <c r="CO1231" s="213" t="s">
        <v>896</v>
      </c>
      <c r="CP1231" s="213" t="s">
        <v>879</v>
      </c>
      <c r="CQ1231" s="213" t="s">
        <v>3807</v>
      </c>
      <c r="CR1231" s="213" t="s">
        <v>3807</v>
      </c>
      <c r="CS1231" s="213" t="s">
        <v>1620</v>
      </c>
      <c r="CT1231" s="213" t="s">
        <v>1621</v>
      </c>
      <c r="CU1231" s="213" t="s">
        <v>2206</v>
      </c>
      <c r="CV1231" s="214" t="s">
        <v>2207</v>
      </c>
      <c r="CX1231" s="212">
        <v>1</v>
      </c>
    </row>
    <row r="1232" spans="91:102" ht="21" customHeight="1">
      <c r="CM1232" s="210"/>
      <c r="CN1232" s="213" t="s">
        <v>3808</v>
      </c>
      <c r="CO1232" s="213" t="s">
        <v>896</v>
      </c>
      <c r="CP1232" s="213" t="s">
        <v>879</v>
      </c>
      <c r="CQ1232" s="213" t="s">
        <v>3809</v>
      </c>
      <c r="CR1232" s="213" t="s">
        <v>3809</v>
      </c>
      <c r="CS1232" s="213" t="s">
        <v>1620</v>
      </c>
      <c r="CT1232" s="213" t="s">
        <v>1621</v>
      </c>
      <c r="CU1232" s="213" t="s">
        <v>2206</v>
      </c>
      <c r="CV1232" s="214" t="s">
        <v>2207</v>
      </c>
      <c r="CX1232" s="212">
        <v>1</v>
      </c>
    </row>
    <row r="1233" spans="91:102" ht="21" customHeight="1">
      <c r="CM1233" s="210"/>
      <c r="CN1233" s="213" t="s">
        <v>3810</v>
      </c>
      <c r="CO1233" s="213" t="s">
        <v>896</v>
      </c>
      <c r="CP1233" s="213" t="s">
        <v>879</v>
      </c>
      <c r="CQ1233" s="213" t="s">
        <v>3811</v>
      </c>
      <c r="CR1233" s="213" t="s">
        <v>3811</v>
      </c>
      <c r="CS1233" s="213" t="s">
        <v>1620</v>
      </c>
      <c r="CT1233" s="213" t="s">
        <v>1621</v>
      </c>
      <c r="CU1233" s="213" t="s">
        <v>2206</v>
      </c>
      <c r="CV1233" s="214" t="s">
        <v>2207</v>
      </c>
      <c r="CX1233" s="212">
        <v>1</v>
      </c>
    </row>
    <row r="1234" spans="91:102" ht="21" customHeight="1">
      <c r="CM1234" s="210"/>
      <c r="CN1234" s="213" t="s">
        <v>3812</v>
      </c>
      <c r="CO1234" s="213" t="s">
        <v>896</v>
      </c>
      <c r="CP1234" s="213" t="s">
        <v>879</v>
      </c>
      <c r="CQ1234" s="213" t="s">
        <v>3813</v>
      </c>
      <c r="CR1234" s="213" t="s">
        <v>3813</v>
      </c>
      <c r="CS1234" s="213" t="s">
        <v>1620</v>
      </c>
      <c r="CT1234" s="213" t="s">
        <v>1621</v>
      </c>
      <c r="CU1234" s="213" t="s">
        <v>2206</v>
      </c>
      <c r="CV1234" s="214" t="s">
        <v>2207</v>
      </c>
      <c r="CX1234" s="212">
        <v>1</v>
      </c>
    </row>
    <row r="1235" spans="91:102" ht="21" customHeight="1">
      <c r="CM1235" s="210"/>
      <c r="CN1235" s="213" t="s">
        <v>3814</v>
      </c>
      <c r="CO1235" s="213" t="s">
        <v>896</v>
      </c>
      <c r="CP1235" s="213" t="s">
        <v>879</v>
      </c>
      <c r="CQ1235" s="213" t="s">
        <v>3815</v>
      </c>
      <c r="CR1235" s="213" t="s">
        <v>3815</v>
      </c>
      <c r="CS1235" s="213" t="s">
        <v>1620</v>
      </c>
      <c r="CT1235" s="213" t="s">
        <v>1621</v>
      </c>
      <c r="CU1235" s="213" t="s">
        <v>2206</v>
      </c>
      <c r="CV1235" s="214" t="s">
        <v>2207</v>
      </c>
      <c r="CX1235" s="212">
        <v>1</v>
      </c>
    </row>
    <row r="1236" spans="91:102" ht="21" customHeight="1">
      <c r="CM1236" s="210"/>
      <c r="CN1236" s="213" t="s">
        <v>3816</v>
      </c>
      <c r="CO1236" s="213" t="s">
        <v>896</v>
      </c>
      <c r="CP1236" s="213" t="s">
        <v>879</v>
      </c>
      <c r="CQ1236" s="213" t="s">
        <v>3817</v>
      </c>
      <c r="CR1236" s="213" t="s">
        <v>3817</v>
      </c>
      <c r="CS1236" s="213" t="s">
        <v>1620</v>
      </c>
      <c r="CT1236" s="213" t="s">
        <v>1621</v>
      </c>
      <c r="CU1236" s="213" t="s">
        <v>2206</v>
      </c>
      <c r="CV1236" s="214" t="s">
        <v>2207</v>
      </c>
      <c r="CX1236" s="212">
        <v>1</v>
      </c>
    </row>
    <row r="1237" spans="91:102" ht="21" customHeight="1">
      <c r="CM1237" s="210"/>
      <c r="CN1237" s="213" t="s">
        <v>3818</v>
      </c>
      <c r="CO1237" s="213" t="s">
        <v>896</v>
      </c>
      <c r="CP1237" s="213" t="s">
        <v>879</v>
      </c>
      <c r="CQ1237" s="213" t="s">
        <v>3819</v>
      </c>
      <c r="CR1237" s="213" t="s">
        <v>3819</v>
      </c>
      <c r="CS1237" s="213" t="s">
        <v>1620</v>
      </c>
      <c r="CT1237" s="213" t="s">
        <v>1621</v>
      </c>
      <c r="CU1237" s="213" t="s">
        <v>2206</v>
      </c>
      <c r="CV1237" s="214" t="s">
        <v>2207</v>
      </c>
      <c r="CX1237" s="212">
        <v>1</v>
      </c>
    </row>
    <row r="1238" spans="91:102" ht="21" customHeight="1">
      <c r="CM1238" s="210"/>
      <c r="CN1238" s="213" t="s">
        <v>3820</v>
      </c>
      <c r="CO1238" s="213" t="s">
        <v>896</v>
      </c>
      <c r="CP1238" s="213" t="s">
        <v>879</v>
      </c>
      <c r="CQ1238" s="213" t="s">
        <v>3821</v>
      </c>
      <c r="CR1238" s="213" t="s">
        <v>3821</v>
      </c>
      <c r="CS1238" s="213" t="s">
        <v>1620</v>
      </c>
      <c r="CT1238" s="213" t="s">
        <v>1621</v>
      </c>
      <c r="CU1238" s="213" t="s">
        <v>2206</v>
      </c>
      <c r="CV1238" s="214" t="s">
        <v>2207</v>
      </c>
      <c r="CX1238" s="212">
        <v>1</v>
      </c>
    </row>
    <row r="1239" spans="91:102" ht="21" customHeight="1">
      <c r="CM1239" s="210"/>
      <c r="CN1239" s="213" t="s">
        <v>3822</v>
      </c>
      <c r="CO1239" s="213" t="s">
        <v>896</v>
      </c>
      <c r="CP1239" s="213" t="s">
        <v>879</v>
      </c>
      <c r="CQ1239" s="213" t="s">
        <v>3823</v>
      </c>
      <c r="CR1239" s="213" t="s">
        <v>3823</v>
      </c>
      <c r="CS1239" s="213" t="s">
        <v>1620</v>
      </c>
      <c r="CT1239" s="213" t="s">
        <v>1621</v>
      </c>
      <c r="CU1239" s="213" t="s">
        <v>2206</v>
      </c>
      <c r="CV1239" s="214" t="s">
        <v>2207</v>
      </c>
      <c r="CX1239" s="212">
        <v>1</v>
      </c>
    </row>
    <row r="1240" spans="91:102" ht="21" customHeight="1">
      <c r="CM1240" s="210"/>
      <c r="CN1240" s="213" t="s">
        <v>3824</v>
      </c>
      <c r="CO1240" s="213" t="s">
        <v>896</v>
      </c>
      <c r="CP1240" s="213" t="s">
        <v>879</v>
      </c>
      <c r="CQ1240" s="213" t="s">
        <v>3825</v>
      </c>
      <c r="CR1240" s="213" t="s">
        <v>3825</v>
      </c>
      <c r="CS1240" s="213" t="s">
        <v>1620</v>
      </c>
      <c r="CT1240" s="213" t="s">
        <v>1621</v>
      </c>
      <c r="CU1240" s="213" t="s">
        <v>2206</v>
      </c>
      <c r="CV1240" s="214" t="s">
        <v>2207</v>
      </c>
      <c r="CX1240" s="212">
        <v>1</v>
      </c>
    </row>
    <row r="1241" spans="91:102" ht="21" customHeight="1">
      <c r="CM1241" s="210"/>
      <c r="CN1241" s="213" t="s">
        <v>3826</v>
      </c>
      <c r="CO1241" s="213" t="s">
        <v>896</v>
      </c>
      <c r="CP1241" s="213" t="s">
        <v>879</v>
      </c>
      <c r="CQ1241" s="213" t="s">
        <v>3827</v>
      </c>
      <c r="CR1241" s="213" t="s">
        <v>3827</v>
      </c>
      <c r="CS1241" s="213" t="s">
        <v>1620</v>
      </c>
      <c r="CT1241" s="213" t="s">
        <v>1621</v>
      </c>
      <c r="CU1241" s="213" t="s">
        <v>2206</v>
      </c>
      <c r="CV1241" s="214" t="s">
        <v>2207</v>
      </c>
      <c r="CX1241" s="212">
        <v>1</v>
      </c>
    </row>
    <row r="1242" spans="91:102" ht="21" customHeight="1">
      <c r="CM1242" s="210"/>
      <c r="CN1242" s="213" t="s">
        <v>3828</v>
      </c>
      <c r="CO1242" s="213" t="s">
        <v>896</v>
      </c>
      <c r="CP1242" s="213" t="s">
        <v>879</v>
      </c>
      <c r="CQ1242" s="213" t="s">
        <v>3829</v>
      </c>
      <c r="CR1242" s="213" t="s">
        <v>3829</v>
      </c>
      <c r="CS1242" s="213" t="s">
        <v>1620</v>
      </c>
      <c r="CT1242" s="213" t="s">
        <v>1621</v>
      </c>
      <c r="CU1242" s="213" t="s">
        <v>2206</v>
      </c>
      <c r="CV1242" s="214" t="s">
        <v>2207</v>
      </c>
      <c r="CX1242" s="212">
        <v>1</v>
      </c>
    </row>
    <row r="1243" spans="91:102" ht="21" customHeight="1">
      <c r="CM1243" s="210"/>
      <c r="CN1243" s="213" t="s">
        <v>3830</v>
      </c>
      <c r="CO1243" s="213" t="s">
        <v>896</v>
      </c>
      <c r="CP1243" s="213" t="s">
        <v>879</v>
      </c>
      <c r="CQ1243" s="213" t="s">
        <v>3831</v>
      </c>
      <c r="CR1243" s="213" t="s">
        <v>3831</v>
      </c>
      <c r="CS1243" s="213" t="s">
        <v>1620</v>
      </c>
      <c r="CT1243" s="213" t="s">
        <v>1621</v>
      </c>
      <c r="CU1243" s="213" t="s">
        <v>2206</v>
      </c>
      <c r="CV1243" s="214" t="s">
        <v>2207</v>
      </c>
      <c r="CX1243" s="212">
        <v>1</v>
      </c>
    </row>
    <row r="1244" spans="91:102" ht="21" customHeight="1">
      <c r="CM1244" s="210"/>
      <c r="CN1244" s="213" t="s">
        <v>3832</v>
      </c>
      <c r="CO1244" s="213" t="s">
        <v>896</v>
      </c>
      <c r="CP1244" s="213" t="s">
        <v>879</v>
      </c>
      <c r="CQ1244" s="213" t="s">
        <v>3833</v>
      </c>
      <c r="CR1244" s="213" t="s">
        <v>3833</v>
      </c>
      <c r="CS1244" s="213" t="s">
        <v>1620</v>
      </c>
      <c r="CT1244" s="213" t="s">
        <v>1621</v>
      </c>
      <c r="CU1244" s="213" t="s">
        <v>2206</v>
      </c>
      <c r="CV1244" s="214" t="s">
        <v>2207</v>
      </c>
      <c r="CX1244" s="212">
        <v>1</v>
      </c>
    </row>
    <row r="1245" spans="91:102" ht="21" customHeight="1">
      <c r="CM1245" s="210"/>
      <c r="CN1245" s="213" t="s">
        <v>3834</v>
      </c>
      <c r="CO1245" s="213" t="s">
        <v>896</v>
      </c>
      <c r="CP1245" s="213" t="s">
        <v>879</v>
      </c>
      <c r="CQ1245" s="213" t="s">
        <v>3835</v>
      </c>
      <c r="CR1245" s="213" t="s">
        <v>3835</v>
      </c>
      <c r="CS1245" s="213" t="s">
        <v>1620</v>
      </c>
      <c r="CT1245" s="213" t="s">
        <v>1621</v>
      </c>
      <c r="CU1245" s="213" t="s">
        <v>2206</v>
      </c>
      <c r="CV1245" s="214" t="s">
        <v>2207</v>
      </c>
      <c r="CX1245" s="212">
        <v>1</v>
      </c>
    </row>
    <row r="1246" spans="91:102" ht="21" customHeight="1">
      <c r="CM1246" s="210"/>
      <c r="CN1246" s="213" t="s">
        <v>3836</v>
      </c>
      <c r="CO1246" s="213" t="s">
        <v>896</v>
      </c>
      <c r="CP1246" s="213" t="s">
        <v>879</v>
      </c>
      <c r="CQ1246" s="213" t="s">
        <v>3837</v>
      </c>
      <c r="CR1246" s="213" t="s">
        <v>3837</v>
      </c>
      <c r="CS1246" s="213" t="s">
        <v>1620</v>
      </c>
      <c r="CT1246" s="213" t="s">
        <v>1621</v>
      </c>
      <c r="CU1246" s="213" t="s">
        <v>2206</v>
      </c>
      <c r="CV1246" s="214" t="s">
        <v>2207</v>
      </c>
      <c r="CX1246" s="212">
        <v>1</v>
      </c>
    </row>
    <row r="1247" spans="91:102" ht="21" customHeight="1">
      <c r="CM1247" s="210"/>
      <c r="CN1247" s="213" t="s">
        <v>3838</v>
      </c>
      <c r="CO1247" s="213" t="s">
        <v>896</v>
      </c>
      <c r="CP1247" s="213" t="s">
        <v>879</v>
      </c>
      <c r="CQ1247" s="213" t="s">
        <v>3839</v>
      </c>
      <c r="CR1247" s="213" t="s">
        <v>3839</v>
      </c>
      <c r="CS1247" s="213" t="s">
        <v>1620</v>
      </c>
      <c r="CT1247" s="213" t="s">
        <v>1621</v>
      </c>
      <c r="CU1247" s="213" t="s">
        <v>2206</v>
      </c>
      <c r="CV1247" s="214" t="s">
        <v>2207</v>
      </c>
      <c r="CX1247" s="212">
        <v>1</v>
      </c>
    </row>
    <row r="1248" spans="91:102" ht="21" customHeight="1">
      <c r="CM1248" s="210"/>
      <c r="CN1248" s="213" t="s">
        <v>3840</v>
      </c>
      <c r="CO1248" s="213" t="s">
        <v>896</v>
      </c>
      <c r="CP1248" s="213" t="s">
        <v>879</v>
      </c>
      <c r="CQ1248" s="213" t="s">
        <v>3841</v>
      </c>
      <c r="CR1248" s="213" t="s">
        <v>3841</v>
      </c>
      <c r="CS1248" s="213" t="s">
        <v>1620</v>
      </c>
      <c r="CT1248" s="213" t="s">
        <v>1621</v>
      </c>
      <c r="CU1248" s="213" t="s">
        <v>2206</v>
      </c>
      <c r="CV1248" s="214" t="s">
        <v>2207</v>
      </c>
      <c r="CX1248" s="212">
        <v>1</v>
      </c>
    </row>
    <row r="1249" spans="91:102" ht="21" customHeight="1">
      <c r="CM1249" s="210"/>
      <c r="CN1249" s="213" t="s">
        <v>3842</v>
      </c>
      <c r="CO1249" s="213" t="s">
        <v>896</v>
      </c>
      <c r="CP1249" s="213" t="s">
        <v>879</v>
      </c>
      <c r="CQ1249" s="213" t="s">
        <v>3843</v>
      </c>
      <c r="CR1249" s="213" t="s">
        <v>3843</v>
      </c>
      <c r="CS1249" s="213" t="s">
        <v>1620</v>
      </c>
      <c r="CT1249" s="213" t="s">
        <v>1621</v>
      </c>
      <c r="CU1249" s="213" t="s">
        <v>2206</v>
      </c>
      <c r="CV1249" s="214" t="s">
        <v>2207</v>
      </c>
      <c r="CX1249" s="212">
        <v>1</v>
      </c>
    </row>
    <row r="1250" spans="91:102" ht="21" customHeight="1">
      <c r="CM1250" s="210"/>
      <c r="CN1250" s="213" t="s">
        <v>3844</v>
      </c>
      <c r="CO1250" s="213" t="s">
        <v>896</v>
      </c>
      <c r="CP1250" s="213" t="s">
        <v>879</v>
      </c>
      <c r="CQ1250" s="213" t="s">
        <v>3845</v>
      </c>
      <c r="CR1250" s="213" t="s">
        <v>3845</v>
      </c>
      <c r="CS1250" s="213" t="s">
        <v>1620</v>
      </c>
      <c r="CT1250" s="213" t="s">
        <v>1621</v>
      </c>
      <c r="CU1250" s="213" t="s">
        <v>2206</v>
      </c>
      <c r="CV1250" s="214" t="s">
        <v>2207</v>
      </c>
      <c r="CX1250" s="212">
        <v>1</v>
      </c>
    </row>
    <row r="1251" spans="91:102" ht="21" customHeight="1">
      <c r="CM1251" s="210"/>
      <c r="CN1251" s="213" t="s">
        <v>3846</v>
      </c>
      <c r="CO1251" s="213" t="s">
        <v>896</v>
      </c>
      <c r="CP1251" s="213" t="s">
        <v>879</v>
      </c>
      <c r="CQ1251" s="213" t="s">
        <v>3847</v>
      </c>
      <c r="CR1251" s="213" t="s">
        <v>3847</v>
      </c>
      <c r="CS1251" s="213" t="s">
        <v>1620</v>
      </c>
      <c r="CT1251" s="213" t="s">
        <v>1621</v>
      </c>
      <c r="CU1251" s="213" t="s">
        <v>2206</v>
      </c>
      <c r="CV1251" s="214" t="s">
        <v>2207</v>
      </c>
      <c r="CX1251" s="212">
        <v>1</v>
      </c>
    </row>
    <row r="1252" spans="91:102" ht="21" customHeight="1">
      <c r="CM1252" s="210"/>
      <c r="CN1252" s="213" t="s">
        <v>3848</v>
      </c>
      <c r="CO1252" s="213" t="s">
        <v>896</v>
      </c>
      <c r="CP1252" s="213" t="s">
        <v>879</v>
      </c>
      <c r="CQ1252" s="213" t="s">
        <v>3849</v>
      </c>
      <c r="CR1252" s="213" t="s">
        <v>3849</v>
      </c>
      <c r="CS1252" s="213" t="s">
        <v>1620</v>
      </c>
      <c r="CT1252" s="213" t="s">
        <v>1621</v>
      </c>
      <c r="CU1252" s="213" t="s">
        <v>2206</v>
      </c>
      <c r="CV1252" s="214" t="s">
        <v>2207</v>
      </c>
      <c r="CX1252" s="212">
        <v>1</v>
      </c>
    </row>
    <row r="1253" spans="91:102" ht="21" customHeight="1">
      <c r="CM1253" s="210"/>
      <c r="CN1253" s="213" t="s">
        <v>3850</v>
      </c>
      <c r="CO1253" s="213" t="s">
        <v>896</v>
      </c>
      <c r="CP1253" s="213" t="s">
        <v>879</v>
      </c>
      <c r="CQ1253" s="213" t="s">
        <v>3851</v>
      </c>
      <c r="CR1253" s="213" t="s">
        <v>3851</v>
      </c>
      <c r="CS1253" s="213" t="s">
        <v>1620</v>
      </c>
      <c r="CT1253" s="213" t="s">
        <v>1621</v>
      </c>
      <c r="CU1253" s="213" t="s">
        <v>2206</v>
      </c>
      <c r="CV1253" s="214" t="s">
        <v>2207</v>
      </c>
      <c r="CX1253" s="212">
        <v>1</v>
      </c>
    </row>
    <row r="1254" spans="91:102" ht="21" customHeight="1">
      <c r="CM1254" s="210"/>
      <c r="CN1254" s="213" t="s">
        <v>3852</v>
      </c>
      <c r="CO1254" s="213" t="s">
        <v>896</v>
      </c>
      <c r="CP1254" s="213" t="s">
        <v>879</v>
      </c>
      <c r="CQ1254" s="213" t="s">
        <v>3853</v>
      </c>
      <c r="CR1254" s="213" t="s">
        <v>3853</v>
      </c>
      <c r="CS1254" s="213" t="s">
        <v>1620</v>
      </c>
      <c r="CT1254" s="213" t="s">
        <v>1621</v>
      </c>
      <c r="CU1254" s="213" t="s">
        <v>2206</v>
      </c>
      <c r="CV1254" s="214" t="s">
        <v>2207</v>
      </c>
      <c r="CX1254" s="212">
        <v>1</v>
      </c>
    </row>
    <row r="1255" spans="91:102" ht="21" customHeight="1">
      <c r="CM1255" s="210"/>
      <c r="CN1255" s="213" t="s">
        <v>3854</v>
      </c>
      <c r="CO1255" s="213" t="s">
        <v>896</v>
      </c>
      <c r="CP1255" s="213" t="s">
        <v>879</v>
      </c>
      <c r="CQ1255" s="213" t="s">
        <v>3855</v>
      </c>
      <c r="CR1255" s="213" t="s">
        <v>3855</v>
      </c>
      <c r="CS1255" s="213" t="s">
        <v>1620</v>
      </c>
      <c r="CT1255" s="213" t="s">
        <v>1621</v>
      </c>
      <c r="CU1255" s="213" t="s">
        <v>2206</v>
      </c>
      <c r="CV1255" s="214" t="s">
        <v>2207</v>
      </c>
      <c r="CX1255" s="212">
        <v>1</v>
      </c>
    </row>
    <row r="1256" spans="91:102" ht="21" customHeight="1">
      <c r="CM1256" s="210"/>
      <c r="CN1256" s="213" t="s">
        <v>3856</v>
      </c>
      <c r="CO1256" s="213" t="s">
        <v>896</v>
      </c>
      <c r="CP1256" s="213" t="s">
        <v>879</v>
      </c>
      <c r="CQ1256" s="213" t="s">
        <v>3857</v>
      </c>
      <c r="CR1256" s="213" t="s">
        <v>3857</v>
      </c>
      <c r="CS1256" s="213" t="s">
        <v>1620</v>
      </c>
      <c r="CT1256" s="213" t="s">
        <v>1621</v>
      </c>
      <c r="CU1256" s="213" t="s">
        <v>2206</v>
      </c>
      <c r="CV1256" s="214" t="s">
        <v>2207</v>
      </c>
      <c r="CX1256" s="212">
        <v>1</v>
      </c>
    </row>
    <row r="1257" spans="91:102" ht="21" customHeight="1">
      <c r="CM1257" s="210"/>
      <c r="CN1257" s="213" t="s">
        <v>3858</v>
      </c>
      <c r="CO1257" s="213" t="s">
        <v>896</v>
      </c>
      <c r="CP1257" s="213" t="s">
        <v>879</v>
      </c>
      <c r="CQ1257" s="213" t="s">
        <v>3859</v>
      </c>
      <c r="CR1257" s="213" t="s">
        <v>3859</v>
      </c>
      <c r="CS1257" s="213" t="s">
        <v>1620</v>
      </c>
      <c r="CT1257" s="213" t="s">
        <v>1621</v>
      </c>
      <c r="CU1257" s="213" t="s">
        <v>2206</v>
      </c>
      <c r="CV1257" s="214" t="s">
        <v>2207</v>
      </c>
      <c r="CX1257" s="212">
        <v>1</v>
      </c>
    </row>
    <row r="1258" spans="91:102" ht="21" customHeight="1">
      <c r="CM1258" s="210"/>
      <c r="CN1258" s="213" t="s">
        <v>3860</v>
      </c>
      <c r="CO1258" s="213" t="s">
        <v>896</v>
      </c>
      <c r="CP1258" s="213" t="s">
        <v>879</v>
      </c>
      <c r="CQ1258" s="213" t="s">
        <v>3861</v>
      </c>
      <c r="CR1258" s="213" t="s">
        <v>3861</v>
      </c>
      <c r="CS1258" s="213" t="s">
        <v>881</v>
      </c>
      <c r="CT1258" s="213" t="s">
        <v>2289</v>
      </c>
      <c r="CU1258" s="213" t="s">
        <v>883</v>
      </c>
      <c r="CV1258" s="214" t="s">
        <v>884</v>
      </c>
      <c r="CX1258" s="212">
        <v>1</v>
      </c>
    </row>
    <row r="1259" spans="91:102" ht="21" customHeight="1">
      <c r="CM1259" s="210"/>
      <c r="CN1259" s="213" t="s">
        <v>3862</v>
      </c>
      <c r="CO1259" s="213" t="s">
        <v>896</v>
      </c>
      <c r="CP1259" s="213" t="s">
        <v>879</v>
      </c>
      <c r="CQ1259" s="213" t="s">
        <v>3863</v>
      </c>
      <c r="CR1259" s="213" t="s">
        <v>3863</v>
      </c>
      <c r="CS1259" s="213" t="s">
        <v>1620</v>
      </c>
      <c r="CT1259" s="213" t="s">
        <v>1621</v>
      </c>
      <c r="CU1259" s="213" t="s">
        <v>2206</v>
      </c>
      <c r="CV1259" s="214" t="s">
        <v>2207</v>
      </c>
      <c r="CX1259" s="212">
        <v>1</v>
      </c>
    </row>
    <row r="1260" spans="91:102" ht="21" customHeight="1">
      <c r="CM1260" s="210"/>
      <c r="CN1260" s="213" t="s">
        <v>3864</v>
      </c>
      <c r="CO1260" s="213" t="s">
        <v>896</v>
      </c>
      <c r="CP1260" s="213" t="s">
        <v>879</v>
      </c>
      <c r="CQ1260" s="213" t="s">
        <v>3865</v>
      </c>
      <c r="CR1260" s="213" t="s">
        <v>3865</v>
      </c>
      <c r="CS1260" s="213" t="s">
        <v>1620</v>
      </c>
      <c r="CT1260" s="213" t="s">
        <v>1621</v>
      </c>
      <c r="CU1260" s="213" t="s">
        <v>2206</v>
      </c>
      <c r="CV1260" s="214" t="s">
        <v>2207</v>
      </c>
      <c r="CX1260" s="212">
        <v>1</v>
      </c>
    </row>
    <row r="1261" spans="91:102" ht="21" customHeight="1">
      <c r="CM1261" s="210"/>
      <c r="CN1261" s="213" t="s">
        <v>3866</v>
      </c>
      <c r="CO1261" s="213" t="s">
        <v>896</v>
      </c>
      <c r="CP1261" s="213" t="s">
        <v>879</v>
      </c>
      <c r="CQ1261" s="213" t="s">
        <v>3867</v>
      </c>
      <c r="CR1261" s="213" t="s">
        <v>3867</v>
      </c>
      <c r="CS1261" s="213" t="s">
        <v>1620</v>
      </c>
      <c r="CT1261" s="213" t="s">
        <v>1621</v>
      </c>
      <c r="CU1261" s="213" t="s">
        <v>2206</v>
      </c>
      <c r="CV1261" s="214" t="s">
        <v>2207</v>
      </c>
      <c r="CX1261" s="212">
        <v>1</v>
      </c>
    </row>
    <row r="1262" spans="91:102" ht="21" customHeight="1">
      <c r="CM1262" s="210"/>
      <c r="CN1262" s="213" t="s">
        <v>3868</v>
      </c>
      <c r="CO1262" s="213" t="s">
        <v>896</v>
      </c>
      <c r="CP1262" s="213" t="s">
        <v>879</v>
      </c>
      <c r="CQ1262" s="213" t="s">
        <v>3869</v>
      </c>
      <c r="CR1262" s="213" t="s">
        <v>3869</v>
      </c>
      <c r="CS1262" s="213" t="s">
        <v>1620</v>
      </c>
      <c r="CT1262" s="213" t="s">
        <v>1621</v>
      </c>
      <c r="CU1262" s="213" t="s">
        <v>2206</v>
      </c>
      <c r="CV1262" s="214" t="s">
        <v>2207</v>
      </c>
      <c r="CX1262" s="212">
        <v>1</v>
      </c>
    </row>
    <row r="1263" spans="91:102" ht="21" customHeight="1">
      <c r="CM1263" s="210"/>
      <c r="CN1263" s="213" t="s">
        <v>3870</v>
      </c>
      <c r="CO1263" s="213" t="s">
        <v>896</v>
      </c>
      <c r="CP1263" s="213" t="s">
        <v>879</v>
      </c>
      <c r="CQ1263" s="213" t="s">
        <v>3871</v>
      </c>
      <c r="CR1263" s="213" t="s">
        <v>3871</v>
      </c>
      <c r="CS1263" s="213" t="s">
        <v>1620</v>
      </c>
      <c r="CT1263" s="213" t="s">
        <v>1621</v>
      </c>
      <c r="CU1263" s="213" t="s">
        <v>2206</v>
      </c>
      <c r="CV1263" s="214" t="s">
        <v>2207</v>
      </c>
      <c r="CX1263" s="212">
        <v>1</v>
      </c>
    </row>
    <row r="1264" spans="91:102" ht="21" customHeight="1">
      <c r="CM1264" s="210"/>
      <c r="CN1264" s="213" t="s">
        <v>3872</v>
      </c>
      <c r="CO1264" s="213" t="s">
        <v>896</v>
      </c>
      <c r="CP1264" s="213" t="s">
        <v>879</v>
      </c>
      <c r="CQ1264" s="213" t="s">
        <v>3873</v>
      </c>
      <c r="CR1264" s="213" t="s">
        <v>3873</v>
      </c>
      <c r="CS1264" s="213" t="s">
        <v>1620</v>
      </c>
      <c r="CT1264" s="213" t="s">
        <v>1621</v>
      </c>
      <c r="CU1264" s="213" t="s">
        <v>2206</v>
      </c>
      <c r="CV1264" s="214" t="s">
        <v>2207</v>
      </c>
      <c r="CX1264" s="212">
        <v>1</v>
      </c>
    </row>
    <row r="1265" spans="91:102" ht="21" customHeight="1">
      <c r="CM1265" s="210"/>
      <c r="CN1265" s="213" t="s">
        <v>3874</v>
      </c>
      <c r="CO1265" s="213" t="s">
        <v>896</v>
      </c>
      <c r="CP1265" s="213" t="s">
        <v>879</v>
      </c>
      <c r="CQ1265" s="213" t="s">
        <v>3875</v>
      </c>
      <c r="CR1265" s="213" t="s">
        <v>3875</v>
      </c>
      <c r="CS1265" s="213" t="s">
        <v>1620</v>
      </c>
      <c r="CT1265" s="213" t="s">
        <v>1621</v>
      </c>
      <c r="CU1265" s="213" t="s">
        <v>2206</v>
      </c>
      <c r="CV1265" s="214" t="s">
        <v>2207</v>
      </c>
      <c r="CX1265" s="212">
        <v>1</v>
      </c>
    </row>
    <row r="1266" spans="91:102" ht="21" customHeight="1">
      <c r="CM1266" s="210"/>
      <c r="CN1266" s="213" t="s">
        <v>3876</v>
      </c>
      <c r="CO1266" s="213" t="s">
        <v>896</v>
      </c>
      <c r="CP1266" s="213" t="s">
        <v>879</v>
      </c>
      <c r="CQ1266" s="213" t="s">
        <v>3877</v>
      </c>
      <c r="CR1266" s="213" t="s">
        <v>3877</v>
      </c>
      <c r="CS1266" s="213" t="s">
        <v>1620</v>
      </c>
      <c r="CT1266" s="213" t="s">
        <v>1621</v>
      </c>
      <c r="CU1266" s="213" t="s">
        <v>2206</v>
      </c>
      <c r="CV1266" s="214" t="s">
        <v>2207</v>
      </c>
      <c r="CX1266" s="212">
        <v>1</v>
      </c>
    </row>
    <row r="1267" spans="91:102" ht="21" customHeight="1">
      <c r="CM1267" s="210"/>
      <c r="CN1267" s="213" t="s">
        <v>3878</v>
      </c>
      <c r="CO1267" s="213" t="s">
        <v>896</v>
      </c>
      <c r="CP1267" s="213" t="s">
        <v>879</v>
      </c>
      <c r="CQ1267" s="213" t="s">
        <v>3879</v>
      </c>
      <c r="CR1267" s="213" t="s">
        <v>3879</v>
      </c>
      <c r="CS1267" s="213" t="s">
        <v>1620</v>
      </c>
      <c r="CT1267" s="213" t="s">
        <v>1621</v>
      </c>
      <c r="CU1267" s="213" t="s">
        <v>2206</v>
      </c>
      <c r="CV1267" s="214" t="s">
        <v>2207</v>
      </c>
      <c r="CX1267" s="212">
        <v>1</v>
      </c>
    </row>
    <row r="1268" spans="91:102" ht="21" customHeight="1">
      <c r="CM1268" s="210"/>
      <c r="CN1268" s="213" t="s">
        <v>3880</v>
      </c>
      <c r="CO1268" s="213" t="s">
        <v>896</v>
      </c>
      <c r="CP1268" s="213" t="s">
        <v>879</v>
      </c>
      <c r="CQ1268" s="213" t="s">
        <v>3881</v>
      </c>
      <c r="CR1268" s="213" t="s">
        <v>3881</v>
      </c>
      <c r="CS1268" s="213" t="s">
        <v>1620</v>
      </c>
      <c r="CT1268" s="213" t="s">
        <v>1621</v>
      </c>
      <c r="CU1268" s="213" t="s">
        <v>2206</v>
      </c>
      <c r="CV1268" s="214" t="s">
        <v>2207</v>
      </c>
      <c r="CX1268" s="212">
        <v>1</v>
      </c>
    </row>
    <row r="1269" spans="91:102" ht="21" customHeight="1">
      <c r="CM1269" s="210"/>
      <c r="CN1269" s="213" t="s">
        <v>3882</v>
      </c>
      <c r="CO1269" s="213" t="s">
        <v>896</v>
      </c>
      <c r="CP1269" s="213" t="s">
        <v>879</v>
      </c>
      <c r="CQ1269" s="213" t="s">
        <v>3883</v>
      </c>
      <c r="CR1269" s="213" t="s">
        <v>3883</v>
      </c>
      <c r="CS1269" s="213" t="s">
        <v>1620</v>
      </c>
      <c r="CT1269" s="213" t="s">
        <v>1621</v>
      </c>
      <c r="CU1269" s="213" t="s">
        <v>2206</v>
      </c>
      <c r="CV1269" s="214" t="s">
        <v>2207</v>
      </c>
      <c r="CX1269" s="212">
        <v>1</v>
      </c>
    </row>
    <row r="1270" spans="91:102" ht="21" customHeight="1">
      <c r="CM1270" s="210"/>
      <c r="CN1270" s="213" t="s">
        <v>3884</v>
      </c>
      <c r="CO1270" s="213" t="s">
        <v>896</v>
      </c>
      <c r="CP1270" s="213" t="s">
        <v>879</v>
      </c>
      <c r="CQ1270" s="213" t="s">
        <v>1613</v>
      </c>
      <c r="CR1270" s="213" t="s">
        <v>1613</v>
      </c>
      <c r="CS1270" s="213" t="s">
        <v>881</v>
      </c>
      <c r="CT1270" s="213" t="s">
        <v>2289</v>
      </c>
      <c r="CU1270" s="213" t="s">
        <v>883</v>
      </c>
      <c r="CV1270" s="214" t="s">
        <v>884</v>
      </c>
      <c r="CX1270" s="212">
        <v>1</v>
      </c>
    </row>
    <row r="1271" spans="91:102" ht="21" customHeight="1">
      <c r="CM1271" s="210"/>
      <c r="CN1271" s="213" t="s">
        <v>3885</v>
      </c>
      <c r="CO1271" s="213" t="s">
        <v>896</v>
      </c>
      <c r="CP1271" s="213" t="s">
        <v>879</v>
      </c>
      <c r="CQ1271" s="213" t="s">
        <v>3886</v>
      </c>
      <c r="CR1271" s="213" t="s">
        <v>3886</v>
      </c>
      <c r="CS1271" s="213" t="s">
        <v>971</v>
      </c>
      <c r="CT1271" s="213" t="s">
        <v>972</v>
      </c>
      <c r="CU1271" s="213" t="s">
        <v>883</v>
      </c>
      <c r="CV1271" s="214" t="s">
        <v>973</v>
      </c>
      <c r="CX1271" s="212">
        <v>1</v>
      </c>
    </row>
    <row r="1272" spans="91:102" ht="21" customHeight="1">
      <c r="CM1272" s="210"/>
      <c r="CN1272" s="213" t="s">
        <v>3887</v>
      </c>
      <c r="CO1272" s="213" t="s">
        <v>896</v>
      </c>
      <c r="CP1272" s="213" t="s">
        <v>879</v>
      </c>
      <c r="CQ1272" s="213" t="s">
        <v>3888</v>
      </c>
      <c r="CR1272" s="213" t="s">
        <v>3888</v>
      </c>
      <c r="CS1272" s="213" t="s">
        <v>1620</v>
      </c>
      <c r="CT1272" s="213" t="s">
        <v>1621</v>
      </c>
      <c r="CU1272" s="213" t="s">
        <v>2206</v>
      </c>
      <c r="CV1272" s="214" t="s">
        <v>2207</v>
      </c>
      <c r="CX1272" s="212">
        <v>1</v>
      </c>
    </row>
    <row r="1273" spans="91:102" ht="21" customHeight="1">
      <c r="CM1273" s="210"/>
      <c r="CN1273" s="213" t="s">
        <v>3889</v>
      </c>
      <c r="CO1273" s="213" t="s">
        <v>896</v>
      </c>
      <c r="CP1273" s="213" t="s">
        <v>879</v>
      </c>
      <c r="CQ1273" s="213" t="s">
        <v>3890</v>
      </c>
      <c r="CR1273" s="213" t="s">
        <v>3890</v>
      </c>
      <c r="CS1273" s="213" t="s">
        <v>1620</v>
      </c>
      <c r="CT1273" s="213" t="s">
        <v>1621</v>
      </c>
      <c r="CU1273" s="213" t="s">
        <v>2206</v>
      </c>
      <c r="CV1273" s="214" t="s">
        <v>2207</v>
      </c>
      <c r="CX1273" s="212">
        <v>1</v>
      </c>
    </row>
    <row r="1274" spans="91:102" ht="21" customHeight="1">
      <c r="CM1274" s="210"/>
      <c r="CN1274" s="213" t="s">
        <v>3891</v>
      </c>
      <c r="CO1274" s="213" t="s">
        <v>896</v>
      </c>
      <c r="CP1274" s="213" t="s">
        <v>879</v>
      </c>
      <c r="CQ1274" s="213" t="s">
        <v>3892</v>
      </c>
      <c r="CR1274" s="213" t="s">
        <v>3892</v>
      </c>
      <c r="CS1274" s="213" t="s">
        <v>1620</v>
      </c>
      <c r="CT1274" s="213" t="s">
        <v>1621</v>
      </c>
      <c r="CU1274" s="213" t="s">
        <v>2206</v>
      </c>
      <c r="CV1274" s="214" t="s">
        <v>2207</v>
      </c>
      <c r="CX1274" s="212">
        <v>1</v>
      </c>
    </row>
    <row r="1275" spans="91:102" ht="21" customHeight="1">
      <c r="CM1275" s="210"/>
      <c r="CN1275" s="213" t="s">
        <v>3893</v>
      </c>
      <c r="CO1275" s="213" t="s">
        <v>896</v>
      </c>
      <c r="CP1275" s="213" t="s">
        <v>879</v>
      </c>
      <c r="CQ1275" s="213" t="s">
        <v>3894</v>
      </c>
      <c r="CR1275" s="213" t="s">
        <v>3894</v>
      </c>
      <c r="CS1275" s="213" t="s">
        <v>1620</v>
      </c>
      <c r="CT1275" s="213" t="s">
        <v>1621</v>
      </c>
      <c r="CU1275" s="213" t="s">
        <v>2206</v>
      </c>
      <c r="CV1275" s="214" t="s">
        <v>2207</v>
      </c>
      <c r="CX1275" s="212">
        <v>1</v>
      </c>
    </row>
    <row r="1276" spans="91:102" ht="21" customHeight="1">
      <c r="CM1276" s="210"/>
      <c r="CN1276" s="213" t="s">
        <v>3895</v>
      </c>
      <c r="CO1276" s="213" t="s">
        <v>896</v>
      </c>
      <c r="CP1276" s="213" t="s">
        <v>879</v>
      </c>
      <c r="CQ1276" s="213" t="s">
        <v>3896</v>
      </c>
      <c r="CR1276" s="213" t="s">
        <v>3896</v>
      </c>
      <c r="CS1276" s="213" t="s">
        <v>1620</v>
      </c>
      <c r="CT1276" s="213" t="s">
        <v>1621</v>
      </c>
      <c r="CU1276" s="213" t="s">
        <v>2206</v>
      </c>
      <c r="CV1276" s="214" t="s">
        <v>2207</v>
      </c>
      <c r="CX1276" s="212">
        <v>1</v>
      </c>
    </row>
    <row r="1277" spans="91:102" ht="21" customHeight="1">
      <c r="CM1277" s="210"/>
      <c r="CN1277" s="213" t="s">
        <v>3897</v>
      </c>
      <c r="CO1277" s="213" t="s">
        <v>896</v>
      </c>
      <c r="CP1277" s="213" t="s">
        <v>879</v>
      </c>
      <c r="CQ1277" s="213" t="s">
        <v>3898</v>
      </c>
      <c r="CR1277" s="213" t="s">
        <v>3898</v>
      </c>
      <c r="CS1277" s="213" t="s">
        <v>1620</v>
      </c>
      <c r="CT1277" s="213" t="s">
        <v>1621</v>
      </c>
      <c r="CU1277" s="213" t="s">
        <v>2206</v>
      </c>
      <c r="CV1277" s="214" t="s">
        <v>2207</v>
      </c>
      <c r="CX1277" s="212">
        <v>1</v>
      </c>
    </row>
    <row r="1278" spans="91:102" ht="21" customHeight="1">
      <c r="CM1278" s="210"/>
      <c r="CN1278" s="213" t="s">
        <v>3899</v>
      </c>
      <c r="CO1278" s="213" t="s">
        <v>896</v>
      </c>
      <c r="CP1278" s="213" t="s">
        <v>879</v>
      </c>
      <c r="CQ1278" s="213" t="s">
        <v>3900</v>
      </c>
      <c r="CR1278" s="213" t="s">
        <v>3900</v>
      </c>
      <c r="CS1278" s="213" t="s">
        <v>1620</v>
      </c>
      <c r="CT1278" s="213" t="s">
        <v>1621</v>
      </c>
      <c r="CU1278" s="213" t="s">
        <v>2206</v>
      </c>
      <c r="CV1278" s="214" t="s">
        <v>2207</v>
      </c>
      <c r="CX1278" s="212">
        <v>1</v>
      </c>
    </row>
    <row r="1279" spans="91:102" ht="21" customHeight="1">
      <c r="CM1279" s="210"/>
      <c r="CN1279" s="213" t="s">
        <v>3901</v>
      </c>
      <c r="CO1279" s="213" t="s">
        <v>896</v>
      </c>
      <c r="CP1279" s="213" t="s">
        <v>879</v>
      </c>
      <c r="CQ1279" s="213" t="s">
        <v>3902</v>
      </c>
      <c r="CR1279" s="213" t="s">
        <v>3902</v>
      </c>
      <c r="CS1279" s="213" t="s">
        <v>1620</v>
      </c>
      <c r="CT1279" s="213" t="s">
        <v>1621</v>
      </c>
      <c r="CU1279" s="213" t="s">
        <v>2206</v>
      </c>
      <c r="CV1279" s="214" t="s">
        <v>2207</v>
      </c>
      <c r="CX1279" s="212">
        <v>1</v>
      </c>
    </row>
    <row r="1280" spans="91:102" ht="21" customHeight="1">
      <c r="CM1280" s="210"/>
      <c r="CN1280" s="213" t="s">
        <v>3903</v>
      </c>
      <c r="CO1280" s="213" t="s">
        <v>896</v>
      </c>
      <c r="CP1280" s="213" t="s">
        <v>879</v>
      </c>
      <c r="CQ1280" s="213" t="s">
        <v>3904</v>
      </c>
      <c r="CR1280" s="213" t="s">
        <v>3904</v>
      </c>
      <c r="CS1280" s="213" t="s">
        <v>881</v>
      </c>
      <c r="CT1280" s="213" t="s">
        <v>2289</v>
      </c>
      <c r="CU1280" s="213" t="s">
        <v>883</v>
      </c>
      <c r="CV1280" s="214" t="s">
        <v>884</v>
      </c>
      <c r="CX1280" s="212">
        <v>1</v>
      </c>
    </row>
    <row r="1281" spans="91:102" ht="21" customHeight="1">
      <c r="CM1281" s="210"/>
      <c r="CN1281" s="213" t="s">
        <v>3905</v>
      </c>
      <c r="CO1281" s="213" t="s">
        <v>896</v>
      </c>
      <c r="CP1281" s="213" t="s">
        <v>879</v>
      </c>
      <c r="CQ1281" s="213" t="s">
        <v>3906</v>
      </c>
      <c r="CR1281" s="213" t="s">
        <v>3906</v>
      </c>
      <c r="CS1281" s="213" t="s">
        <v>881</v>
      </c>
      <c r="CT1281" s="213" t="s">
        <v>2289</v>
      </c>
      <c r="CU1281" s="213" t="s">
        <v>883</v>
      </c>
      <c r="CV1281" s="214" t="s">
        <v>884</v>
      </c>
      <c r="CX1281" s="212">
        <v>1</v>
      </c>
    </row>
    <row r="1282" spans="91:102" ht="21" customHeight="1">
      <c r="CM1282" s="210"/>
      <c r="CN1282" s="213" t="s">
        <v>3907</v>
      </c>
      <c r="CO1282" s="213" t="s">
        <v>896</v>
      </c>
      <c r="CP1282" s="213" t="s">
        <v>879</v>
      </c>
      <c r="CQ1282" s="213" t="s">
        <v>3908</v>
      </c>
      <c r="CR1282" s="213" t="s">
        <v>3908</v>
      </c>
      <c r="CS1282" s="213" t="s">
        <v>1620</v>
      </c>
      <c r="CT1282" s="213" t="s">
        <v>1621</v>
      </c>
      <c r="CU1282" s="213" t="s">
        <v>2206</v>
      </c>
      <c r="CV1282" s="214" t="s">
        <v>2207</v>
      </c>
      <c r="CX1282" s="212">
        <v>1</v>
      </c>
    </row>
    <row r="1283" spans="91:102" ht="21" customHeight="1">
      <c r="CM1283" s="210"/>
      <c r="CN1283" s="213" t="s">
        <v>3909</v>
      </c>
      <c r="CO1283" s="213" t="s">
        <v>896</v>
      </c>
      <c r="CP1283" s="213" t="s">
        <v>879</v>
      </c>
      <c r="CQ1283" s="213" t="s">
        <v>3910</v>
      </c>
      <c r="CR1283" s="213" t="s">
        <v>3910</v>
      </c>
      <c r="CS1283" s="213" t="s">
        <v>881</v>
      </c>
      <c r="CT1283" s="213" t="s">
        <v>2289</v>
      </c>
      <c r="CU1283" s="213" t="s">
        <v>883</v>
      </c>
      <c r="CV1283" s="214" t="s">
        <v>884</v>
      </c>
      <c r="CX1283" s="212">
        <v>1</v>
      </c>
    </row>
    <row r="1284" spans="91:102" ht="21" customHeight="1">
      <c r="CM1284" s="210"/>
      <c r="CN1284" s="213" t="s">
        <v>3911</v>
      </c>
      <c r="CO1284" s="213" t="s">
        <v>896</v>
      </c>
      <c r="CP1284" s="213" t="s">
        <v>879</v>
      </c>
      <c r="CQ1284" s="213" t="s">
        <v>3912</v>
      </c>
      <c r="CR1284" s="213" t="s">
        <v>3912</v>
      </c>
      <c r="CS1284" s="213" t="s">
        <v>1620</v>
      </c>
      <c r="CT1284" s="213" t="s">
        <v>1621</v>
      </c>
      <c r="CU1284" s="213" t="s">
        <v>2206</v>
      </c>
      <c r="CV1284" s="214" t="s">
        <v>2207</v>
      </c>
      <c r="CX1284" s="212">
        <v>1</v>
      </c>
    </row>
    <row r="1285" spans="91:102" ht="21" customHeight="1">
      <c r="CM1285" s="210"/>
      <c r="CN1285" s="213" t="s">
        <v>3913</v>
      </c>
      <c r="CO1285" s="213" t="s">
        <v>896</v>
      </c>
      <c r="CP1285" s="213" t="s">
        <v>879</v>
      </c>
      <c r="CQ1285" s="213" t="s">
        <v>3914</v>
      </c>
      <c r="CR1285" s="213" t="s">
        <v>3914</v>
      </c>
      <c r="CS1285" s="213" t="s">
        <v>1620</v>
      </c>
      <c r="CT1285" s="213" t="s">
        <v>1621</v>
      </c>
      <c r="CU1285" s="213" t="s">
        <v>2206</v>
      </c>
      <c r="CV1285" s="214" t="s">
        <v>2207</v>
      </c>
      <c r="CX1285" s="212">
        <v>1</v>
      </c>
    </row>
    <row r="1286" spans="91:102" ht="21" customHeight="1">
      <c r="CM1286" s="210"/>
      <c r="CN1286" s="213" t="s">
        <v>3915</v>
      </c>
      <c r="CO1286" s="213" t="s">
        <v>896</v>
      </c>
      <c r="CP1286" s="213" t="s">
        <v>879</v>
      </c>
      <c r="CQ1286" s="213" t="s">
        <v>3916</v>
      </c>
      <c r="CR1286" s="213" t="s">
        <v>3916</v>
      </c>
      <c r="CS1286" s="213" t="s">
        <v>1620</v>
      </c>
      <c r="CT1286" s="213" t="s">
        <v>1621</v>
      </c>
      <c r="CU1286" s="213" t="s">
        <v>2206</v>
      </c>
      <c r="CV1286" s="214" t="s">
        <v>2207</v>
      </c>
      <c r="CX1286" s="212">
        <v>1</v>
      </c>
    </row>
    <row r="1287" spans="91:102" ht="21" customHeight="1">
      <c r="CM1287" s="210"/>
      <c r="CN1287" s="213" t="s">
        <v>3917</v>
      </c>
      <c r="CO1287" s="213" t="s">
        <v>896</v>
      </c>
      <c r="CP1287" s="213" t="s">
        <v>879</v>
      </c>
      <c r="CQ1287" s="213" t="s">
        <v>3918</v>
      </c>
      <c r="CR1287" s="213" t="s">
        <v>3918</v>
      </c>
      <c r="CS1287" s="213" t="s">
        <v>1620</v>
      </c>
      <c r="CT1287" s="213" t="s">
        <v>1621</v>
      </c>
      <c r="CU1287" s="213" t="s">
        <v>2206</v>
      </c>
      <c r="CV1287" s="214" t="s">
        <v>2207</v>
      </c>
      <c r="CX1287" s="212">
        <v>1</v>
      </c>
    </row>
    <row r="1288" spans="91:102" ht="21" customHeight="1">
      <c r="CM1288" s="210"/>
      <c r="CN1288" s="213" t="s">
        <v>3919</v>
      </c>
      <c r="CO1288" s="213" t="s">
        <v>896</v>
      </c>
      <c r="CP1288" s="213" t="s">
        <v>879</v>
      </c>
      <c r="CQ1288" s="213" t="s">
        <v>3920</v>
      </c>
      <c r="CR1288" s="213" t="s">
        <v>3920</v>
      </c>
      <c r="CS1288" s="213" t="s">
        <v>1620</v>
      </c>
      <c r="CT1288" s="213" t="s">
        <v>1621</v>
      </c>
      <c r="CU1288" s="213" t="s">
        <v>2206</v>
      </c>
      <c r="CV1288" s="214" t="s">
        <v>2207</v>
      </c>
      <c r="CX1288" s="212">
        <v>1</v>
      </c>
    </row>
    <row r="1289" spans="91:102" ht="21" customHeight="1">
      <c r="CM1289" s="210"/>
      <c r="CN1289" s="213" t="s">
        <v>3921</v>
      </c>
      <c r="CO1289" s="213" t="s">
        <v>896</v>
      </c>
      <c r="CP1289" s="213" t="s">
        <v>879</v>
      </c>
      <c r="CQ1289" s="213" t="s">
        <v>3922</v>
      </c>
      <c r="CR1289" s="213" t="s">
        <v>3922</v>
      </c>
      <c r="CS1289" s="213" t="s">
        <v>1620</v>
      </c>
      <c r="CT1289" s="213" t="s">
        <v>1621</v>
      </c>
      <c r="CU1289" s="213" t="s">
        <v>2206</v>
      </c>
      <c r="CV1289" s="214" t="s">
        <v>2207</v>
      </c>
      <c r="CX1289" s="212">
        <v>1</v>
      </c>
    </row>
    <row r="1290" spans="91:102" ht="21" customHeight="1">
      <c r="CM1290" s="210"/>
      <c r="CN1290" s="213" t="s">
        <v>3923</v>
      </c>
      <c r="CO1290" s="213" t="s">
        <v>896</v>
      </c>
      <c r="CP1290" s="213" t="s">
        <v>879</v>
      </c>
      <c r="CQ1290" s="213" t="s">
        <v>3924</v>
      </c>
      <c r="CR1290" s="213" t="s">
        <v>3924</v>
      </c>
      <c r="CS1290" s="213" t="s">
        <v>1620</v>
      </c>
      <c r="CT1290" s="213" t="s">
        <v>1621</v>
      </c>
      <c r="CU1290" s="213" t="s">
        <v>2206</v>
      </c>
      <c r="CV1290" s="214" t="s">
        <v>2207</v>
      </c>
      <c r="CX1290" s="212">
        <v>1</v>
      </c>
    </row>
    <row r="1291" spans="91:102" ht="21" customHeight="1">
      <c r="CM1291" s="210"/>
      <c r="CN1291" s="213" t="s">
        <v>3925</v>
      </c>
      <c r="CO1291" s="213" t="s">
        <v>896</v>
      </c>
      <c r="CP1291" s="213" t="s">
        <v>879</v>
      </c>
      <c r="CQ1291" s="213" t="s">
        <v>3926</v>
      </c>
      <c r="CR1291" s="213" t="s">
        <v>3926</v>
      </c>
      <c r="CS1291" s="213" t="s">
        <v>1620</v>
      </c>
      <c r="CT1291" s="213" t="s">
        <v>1621</v>
      </c>
      <c r="CU1291" s="213" t="s">
        <v>2206</v>
      </c>
      <c r="CV1291" s="214" t="s">
        <v>2207</v>
      </c>
      <c r="CX1291" s="212">
        <v>1</v>
      </c>
    </row>
    <row r="1292" spans="91:102" ht="21" customHeight="1">
      <c r="CM1292" s="210"/>
      <c r="CN1292" s="213" t="s">
        <v>3927</v>
      </c>
      <c r="CO1292" s="213" t="s">
        <v>896</v>
      </c>
      <c r="CP1292" s="213" t="s">
        <v>879</v>
      </c>
      <c r="CQ1292" s="213" t="s">
        <v>3928</v>
      </c>
      <c r="CR1292" s="213" t="s">
        <v>3928</v>
      </c>
      <c r="CS1292" s="213" t="s">
        <v>1620</v>
      </c>
      <c r="CT1292" s="213" t="s">
        <v>1621</v>
      </c>
      <c r="CU1292" s="213" t="s">
        <v>2206</v>
      </c>
      <c r="CV1292" s="214" t="s">
        <v>2207</v>
      </c>
      <c r="CX1292" s="212">
        <v>1</v>
      </c>
    </row>
    <row r="1293" spans="91:102" ht="21" customHeight="1">
      <c r="CM1293" s="210"/>
      <c r="CN1293" s="213" t="s">
        <v>3929</v>
      </c>
      <c r="CO1293" s="213" t="s">
        <v>896</v>
      </c>
      <c r="CP1293" s="213" t="s">
        <v>879</v>
      </c>
      <c r="CQ1293" s="213" t="s">
        <v>3930</v>
      </c>
      <c r="CR1293" s="213" t="s">
        <v>3930</v>
      </c>
      <c r="CS1293" s="213" t="s">
        <v>1620</v>
      </c>
      <c r="CT1293" s="213" t="s">
        <v>1621</v>
      </c>
      <c r="CU1293" s="213" t="s">
        <v>2206</v>
      </c>
      <c r="CV1293" s="214" t="s">
        <v>2207</v>
      </c>
      <c r="CX1293" s="212">
        <v>1</v>
      </c>
    </row>
    <row r="1294" spans="91:102" ht="21" customHeight="1">
      <c r="CM1294" s="210"/>
      <c r="CN1294" s="213" t="s">
        <v>3931</v>
      </c>
      <c r="CO1294" s="213" t="s">
        <v>896</v>
      </c>
      <c r="CP1294" s="213" t="s">
        <v>879</v>
      </c>
      <c r="CQ1294" s="213" t="s">
        <v>3932</v>
      </c>
      <c r="CR1294" s="213" t="s">
        <v>3932</v>
      </c>
      <c r="CS1294" s="213" t="s">
        <v>1620</v>
      </c>
      <c r="CT1294" s="213" t="s">
        <v>1621</v>
      </c>
      <c r="CU1294" s="213" t="s">
        <v>2206</v>
      </c>
      <c r="CV1294" s="214" t="s">
        <v>2207</v>
      </c>
      <c r="CX1294" s="212">
        <v>1</v>
      </c>
    </row>
    <row r="1295" spans="91:102" ht="21" customHeight="1">
      <c r="CM1295" s="210"/>
      <c r="CN1295" s="213" t="s">
        <v>3933</v>
      </c>
      <c r="CO1295" s="213" t="s">
        <v>896</v>
      </c>
      <c r="CP1295" s="213" t="s">
        <v>879</v>
      </c>
      <c r="CQ1295" s="213" t="s">
        <v>3934</v>
      </c>
      <c r="CR1295" s="213" t="s">
        <v>3934</v>
      </c>
      <c r="CS1295" s="213" t="s">
        <v>1620</v>
      </c>
      <c r="CT1295" s="213" t="s">
        <v>1621</v>
      </c>
      <c r="CU1295" s="213" t="s">
        <v>2206</v>
      </c>
      <c r="CV1295" s="214" t="s">
        <v>2207</v>
      </c>
      <c r="CX1295" s="212">
        <v>1</v>
      </c>
    </row>
    <row r="1296" spans="91:102" ht="21" customHeight="1">
      <c r="CM1296" s="210"/>
      <c r="CN1296" s="213" t="s">
        <v>3935</v>
      </c>
      <c r="CO1296" s="213" t="s">
        <v>896</v>
      </c>
      <c r="CP1296" s="213" t="s">
        <v>879</v>
      </c>
      <c r="CQ1296" s="213" t="s">
        <v>3936</v>
      </c>
      <c r="CR1296" s="213" t="s">
        <v>3936</v>
      </c>
      <c r="CS1296" s="213" t="s">
        <v>1620</v>
      </c>
      <c r="CT1296" s="213" t="s">
        <v>1621</v>
      </c>
      <c r="CU1296" s="213" t="s">
        <v>2206</v>
      </c>
      <c r="CV1296" s="214" t="s">
        <v>2207</v>
      </c>
      <c r="CX1296" s="212">
        <v>1</v>
      </c>
    </row>
    <row r="1297" spans="91:102" ht="21" customHeight="1">
      <c r="CM1297" s="210"/>
      <c r="CN1297" s="213" t="s">
        <v>3937</v>
      </c>
      <c r="CO1297" s="213" t="s">
        <v>896</v>
      </c>
      <c r="CP1297" s="213" t="s">
        <v>879</v>
      </c>
      <c r="CQ1297" s="213" t="s">
        <v>3938</v>
      </c>
      <c r="CR1297" s="213" t="s">
        <v>3938</v>
      </c>
      <c r="CS1297" s="213" t="s">
        <v>1620</v>
      </c>
      <c r="CT1297" s="213" t="s">
        <v>1621</v>
      </c>
      <c r="CU1297" s="213" t="s">
        <v>2206</v>
      </c>
      <c r="CV1297" s="214" t="s">
        <v>2207</v>
      </c>
      <c r="CX1297" s="212">
        <v>1</v>
      </c>
    </row>
    <row r="1298" spans="91:102" ht="21" customHeight="1">
      <c r="CM1298" s="210"/>
      <c r="CN1298" s="213" t="s">
        <v>3939</v>
      </c>
      <c r="CO1298" s="213" t="s">
        <v>896</v>
      </c>
      <c r="CP1298" s="213" t="s">
        <v>879</v>
      </c>
      <c r="CQ1298" s="213" t="s">
        <v>3940</v>
      </c>
      <c r="CR1298" s="213" t="s">
        <v>3940</v>
      </c>
      <c r="CS1298" s="213" t="s">
        <v>1620</v>
      </c>
      <c r="CT1298" s="213" t="s">
        <v>1621</v>
      </c>
      <c r="CU1298" s="213" t="s">
        <v>2206</v>
      </c>
      <c r="CV1298" s="214" t="s">
        <v>2207</v>
      </c>
      <c r="CX1298" s="212">
        <v>1</v>
      </c>
    </row>
    <row r="1299" spans="91:102" ht="21" customHeight="1">
      <c r="CM1299" s="210"/>
      <c r="CN1299" s="213" t="s">
        <v>3941</v>
      </c>
      <c r="CO1299" s="213" t="s">
        <v>896</v>
      </c>
      <c r="CP1299" s="213" t="s">
        <v>879</v>
      </c>
      <c r="CQ1299" s="213" t="s">
        <v>3942</v>
      </c>
      <c r="CR1299" s="213" t="s">
        <v>3942</v>
      </c>
      <c r="CS1299" s="213" t="s">
        <v>1620</v>
      </c>
      <c r="CT1299" s="213" t="s">
        <v>1621</v>
      </c>
      <c r="CU1299" s="213" t="s">
        <v>2206</v>
      </c>
      <c r="CV1299" s="214" t="s">
        <v>2207</v>
      </c>
      <c r="CX1299" s="212">
        <v>1</v>
      </c>
    </row>
    <row r="1300" spans="91:102" ht="21" customHeight="1">
      <c r="CM1300" s="210"/>
      <c r="CN1300" s="213" t="s">
        <v>3943</v>
      </c>
      <c r="CO1300" s="213" t="s">
        <v>896</v>
      </c>
      <c r="CP1300" s="213" t="s">
        <v>879</v>
      </c>
      <c r="CQ1300" s="213" t="s">
        <v>3944</v>
      </c>
      <c r="CR1300" s="213" t="s">
        <v>3944</v>
      </c>
      <c r="CS1300" s="213" t="s">
        <v>1620</v>
      </c>
      <c r="CT1300" s="213" t="s">
        <v>1621</v>
      </c>
      <c r="CU1300" s="213" t="s">
        <v>2206</v>
      </c>
      <c r="CV1300" s="214" t="s">
        <v>2207</v>
      </c>
      <c r="CX1300" s="212">
        <v>1</v>
      </c>
    </row>
    <row r="1301" spans="91:102" ht="21" customHeight="1">
      <c r="CM1301" s="210"/>
      <c r="CN1301" s="213" t="s">
        <v>3945</v>
      </c>
      <c r="CO1301" s="213" t="s">
        <v>896</v>
      </c>
      <c r="CP1301" s="213" t="s">
        <v>879</v>
      </c>
      <c r="CQ1301" s="213" t="s">
        <v>3946</v>
      </c>
      <c r="CR1301" s="213" t="s">
        <v>3946</v>
      </c>
      <c r="CS1301" s="213" t="s">
        <v>1620</v>
      </c>
      <c r="CT1301" s="213" t="s">
        <v>1621</v>
      </c>
      <c r="CU1301" s="213" t="s">
        <v>2206</v>
      </c>
      <c r="CV1301" s="214" t="s">
        <v>2207</v>
      </c>
      <c r="CX1301" s="212">
        <v>1</v>
      </c>
    </row>
    <row r="1302" spans="91:102" ht="21" customHeight="1">
      <c r="CM1302" s="210"/>
      <c r="CN1302" s="213" t="s">
        <v>3947</v>
      </c>
      <c r="CO1302" s="213" t="s">
        <v>896</v>
      </c>
      <c r="CP1302" s="213" t="s">
        <v>879</v>
      </c>
      <c r="CQ1302" s="213" t="s">
        <v>3948</v>
      </c>
      <c r="CR1302" s="213" t="s">
        <v>3948</v>
      </c>
      <c r="CS1302" s="213" t="s">
        <v>1620</v>
      </c>
      <c r="CT1302" s="213" t="s">
        <v>1621</v>
      </c>
      <c r="CU1302" s="213" t="s">
        <v>2206</v>
      </c>
      <c r="CV1302" s="214" t="s">
        <v>2207</v>
      </c>
      <c r="CX1302" s="212">
        <v>1</v>
      </c>
    </row>
    <row r="1303" spans="91:102" ht="21" customHeight="1">
      <c r="CM1303" s="210"/>
      <c r="CN1303" s="213" t="s">
        <v>3949</v>
      </c>
      <c r="CO1303" s="213" t="s">
        <v>896</v>
      </c>
      <c r="CP1303" s="213" t="s">
        <v>879</v>
      </c>
      <c r="CQ1303" s="213" t="s">
        <v>3950</v>
      </c>
      <c r="CR1303" s="213" t="s">
        <v>3950</v>
      </c>
      <c r="CS1303" s="213" t="s">
        <v>1620</v>
      </c>
      <c r="CT1303" s="213" t="s">
        <v>1621</v>
      </c>
      <c r="CU1303" s="213" t="s">
        <v>2206</v>
      </c>
      <c r="CV1303" s="214" t="s">
        <v>2207</v>
      </c>
      <c r="CX1303" s="212">
        <v>1</v>
      </c>
    </row>
    <row r="1304" spans="91:102" ht="21" customHeight="1">
      <c r="CM1304" s="210"/>
      <c r="CN1304" s="213" t="s">
        <v>3951</v>
      </c>
      <c r="CO1304" s="213" t="s">
        <v>896</v>
      </c>
      <c r="CP1304" s="213" t="s">
        <v>879</v>
      </c>
      <c r="CQ1304" s="213" t="s">
        <v>3952</v>
      </c>
      <c r="CR1304" s="213" t="s">
        <v>3952</v>
      </c>
      <c r="CS1304" s="213" t="s">
        <v>1620</v>
      </c>
      <c r="CT1304" s="213" t="s">
        <v>1621</v>
      </c>
      <c r="CU1304" s="213" t="s">
        <v>2206</v>
      </c>
      <c r="CV1304" s="214" t="s">
        <v>2207</v>
      </c>
      <c r="CX1304" s="212">
        <v>1</v>
      </c>
    </row>
    <row r="1305" spans="91:102" ht="21" customHeight="1">
      <c r="CM1305" s="210"/>
      <c r="CN1305" s="213" t="s">
        <v>3953</v>
      </c>
      <c r="CO1305" s="213" t="s">
        <v>896</v>
      </c>
      <c r="CP1305" s="213" t="s">
        <v>879</v>
      </c>
      <c r="CQ1305" s="213" t="s">
        <v>3954</v>
      </c>
      <c r="CR1305" s="213" t="s">
        <v>3954</v>
      </c>
      <c r="CS1305" s="213" t="s">
        <v>1620</v>
      </c>
      <c r="CT1305" s="213" t="s">
        <v>1621</v>
      </c>
      <c r="CU1305" s="213" t="s">
        <v>2206</v>
      </c>
      <c r="CV1305" s="214" t="s">
        <v>2207</v>
      </c>
      <c r="CX1305" s="212">
        <v>1</v>
      </c>
    </row>
    <row r="1306" spans="91:102" ht="21" customHeight="1">
      <c r="CM1306" s="210"/>
      <c r="CN1306" s="213" t="s">
        <v>3955</v>
      </c>
      <c r="CO1306" s="213" t="s">
        <v>896</v>
      </c>
      <c r="CP1306" s="213" t="s">
        <v>879</v>
      </c>
      <c r="CQ1306" s="213" t="s">
        <v>3956</v>
      </c>
      <c r="CR1306" s="213" t="s">
        <v>3956</v>
      </c>
      <c r="CS1306" s="213" t="s">
        <v>1620</v>
      </c>
      <c r="CT1306" s="213" t="s">
        <v>1621</v>
      </c>
      <c r="CU1306" s="213" t="s">
        <v>2206</v>
      </c>
      <c r="CV1306" s="214" t="s">
        <v>2207</v>
      </c>
      <c r="CX1306" s="212">
        <v>1</v>
      </c>
    </row>
    <row r="1307" spans="91:102" ht="21" customHeight="1">
      <c r="CM1307" s="210"/>
      <c r="CN1307" s="213" t="s">
        <v>3957</v>
      </c>
      <c r="CO1307" s="213" t="s">
        <v>896</v>
      </c>
      <c r="CP1307" s="213" t="s">
        <v>879</v>
      </c>
      <c r="CQ1307" s="213" t="s">
        <v>3958</v>
      </c>
      <c r="CR1307" s="213" t="s">
        <v>3958</v>
      </c>
      <c r="CS1307" s="213" t="s">
        <v>1620</v>
      </c>
      <c r="CT1307" s="213" t="s">
        <v>1621</v>
      </c>
      <c r="CU1307" s="213" t="s">
        <v>2206</v>
      </c>
      <c r="CV1307" s="214" t="s">
        <v>2207</v>
      </c>
      <c r="CX1307" s="212">
        <v>1</v>
      </c>
    </row>
    <row r="1308" spans="91:102" ht="21" customHeight="1">
      <c r="CM1308" s="210"/>
      <c r="CN1308" s="213" t="s">
        <v>3959</v>
      </c>
      <c r="CO1308" s="213" t="s">
        <v>896</v>
      </c>
      <c r="CP1308" s="213" t="s">
        <v>879</v>
      </c>
      <c r="CQ1308" s="213" t="s">
        <v>3960</v>
      </c>
      <c r="CR1308" s="213" t="s">
        <v>3960</v>
      </c>
      <c r="CS1308" s="213" t="s">
        <v>1620</v>
      </c>
      <c r="CT1308" s="213" t="s">
        <v>1621</v>
      </c>
      <c r="CU1308" s="213" t="s">
        <v>2206</v>
      </c>
      <c r="CV1308" s="214" t="s">
        <v>2207</v>
      </c>
      <c r="CX1308" s="212">
        <v>1</v>
      </c>
    </row>
    <row r="1309" spans="91:102" ht="21" customHeight="1">
      <c r="CM1309" s="210"/>
      <c r="CN1309" s="213" t="s">
        <v>3961</v>
      </c>
      <c r="CO1309" s="213" t="s">
        <v>896</v>
      </c>
      <c r="CP1309" s="213" t="s">
        <v>879</v>
      </c>
      <c r="CQ1309" s="213" t="s">
        <v>3962</v>
      </c>
      <c r="CR1309" s="213" t="s">
        <v>3962</v>
      </c>
      <c r="CS1309" s="213" t="s">
        <v>1620</v>
      </c>
      <c r="CT1309" s="213" t="s">
        <v>1621</v>
      </c>
      <c r="CU1309" s="213" t="s">
        <v>2206</v>
      </c>
      <c r="CV1309" s="214" t="s">
        <v>2207</v>
      </c>
      <c r="CX1309" s="212">
        <v>1</v>
      </c>
    </row>
    <row r="1310" spans="91:102" ht="21" customHeight="1">
      <c r="CM1310" s="210"/>
      <c r="CN1310" s="213" t="s">
        <v>3963</v>
      </c>
      <c r="CO1310" s="213" t="s">
        <v>896</v>
      </c>
      <c r="CP1310" s="213" t="s">
        <v>879</v>
      </c>
      <c r="CQ1310" s="213" t="s">
        <v>3964</v>
      </c>
      <c r="CR1310" s="213" t="s">
        <v>3964</v>
      </c>
      <c r="CS1310" s="213" t="s">
        <v>1620</v>
      </c>
      <c r="CT1310" s="213" t="s">
        <v>1621</v>
      </c>
      <c r="CU1310" s="213" t="s">
        <v>2206</v>
      </c>
      <c r="CV1310" s="214" t="s">
        <v>2207</v>
      </c>
      <c r="CX1310" s="212">
        <v>1</v>
      </c>
    </row>
    <row r="1311" spans="91:102" ht="21" customHeight="1">
      <c r="CM1311" s="210"/>
      <c r="CN1311" s="213" t="s">
        <v>3965</v>
      </c>
      <c r="CO1311" s="213" t="s">
        <v>896</v>
      </c>
      <c r="CP1311" s="213" t="s">
        <v>879</v>
      </c>
      <c r="CQ1311" s="213" t="s">
        <v>3966</v>
      </c>
      <c r="CR1311" s="213" t="s">
        <v>3966</v>
      </c>
      <c r="CS1311" s="213" t="s">
        <v>1620</v>
      </c>
      <c r="CT1311" s="213" t="s">
        <v>1621</v>
      </c>
      <c r="CU1311" s="213" t="s">
        <v>2206</v>
      </c>
      <c r="CV1311" s="214" t="s">
        <v>2207</v>
      </c>
      <c r="CX1311" s="212">
        <v>1</v>
      </c>
    </row>
    <row r="1312" spans="91:102" ht="21" customHeight="1">
      <c r="CM1312" s="210"/>
      <c r="CN1312" s="213" t="s">
        <v>3967</v>
      </c>
      <c r="CO1312" s="213" t="s">
        <v>896</v>
      </c>
      <c r="CP1312" s="213" t="s">
        <v>879</v>
      </c>
      <c r="CQ1312" s="213" t="s">
        <v>3968</v>
      </c>
      <c r="CR1312" s="213" t="s">
        <v>3968</v>
      </c>
      <c r="CS1312" s="213" t="s">
        <v>971</v>
      </c>
      <c r="CT1312" s="213" t="s">
        <v>972</v>
      </c>
      <c r="CU1312" s="213" t="s">
        <v>883</v>
      </c>
      <c r="CV1312" s="214" t="s">
        <v>973</v>
      </c>
      <c r="CX1312" s="212">
        <v>1</v>
      </c>
    </row>
    <row r="1313" spans="91:102" ht="21" customHeight="1">
      <c r="CM1313" s="210"/>
      <c r="CN1313" s="213" t="s">
        <v>3969</v>
      </c>
      <c r="CO1313" s="213" t="s">
        <v>896</v>
      </c>
      <c r="CP1313" s="213" t="s">
        <v>879</v>
      </c>
      <c r="CQ1313" s="213" t="s">
        <v>3970</v>
      </c>
      <c r="CR1313" s="213" t="s">
        <v>3970</v>
      </c>
      <c r="CS1313" s="213" t="s">
        <v>1620</v>
      </c>
      <c r="CT1313" s="213" t="s">
        <v>1621</v>
      </c>
      <c r="CU1313" s="213" t="s">
        <v>2206</v>
      </c>
      <c r="CV1313" s="214" t="s">
        <v>2207</v>
      </c>
      <c r="CX1313" s="212">
        <v>1</v>
      </c>
    </row>
    <row r="1314" spans="91:102" ht="21" customHeight="1">
      <c r="CM1314" s="210"/>
      <c r="CN1314" s="213" t="s">
        <v>3971</v>
      </c>
      <c r="CO1314" s="213" t="s">
        <v>896</v>
      </c>
      <c r="CP1314" s="213" t="s">
        <v>879</v>
      </c>
      <c r="CQ1314" s="213" t="s">
        <v>3972</v>
      </c>
      <c r="CR1314" s="213" t="s">
        <v>3972</v>
      </c>
      <c r="CS1314" s="213" t="s">
        <v>1620</v>
      </c>
      <c r="CT1314" s="213" t="s">
        <v>1621</v>
      </c>
      <c r="CU1314" s="213" t="s">
        <v>2206</v>
      </c>
      <c r="CV1314" s="214" t="s">
        <v>2207</v>
      </c>
      <c r="CX1314" s="212">
        <v>1</v>
      </c>
    </row>
    <row r="1315" spans="91:102" ht="21" customHeight="1">
      <c r="CM1315" s="210"/>
      <c r="CN1315" s="213" t="s">
        <v>3973</v>
      </c>
      <c r="CO1315" s="213" t="s">
        <v>896</v>
      </c>
      <c r="CP1315" s="213" t="s">
        <v>879</v>
      </c>
      <c r="CQ1315" s="213" t="s">
        <v>3974</v>
      </c>
      <c r="CR1315" s="213" t="s">
        <v>3974</v>
      </c>
      <c r="CS1315" s="213" t="s">
        <v>971</v>
      </c>
      <c r="CT1315" s="213" t="s">
        <v>972</v>
      </c>
      <c r="CU1315" s="213" t="s">
        <v>883</v>
      </c>
      <c r="CV1315" s="214" t="s">
        <v>973</v>
      </c>
      <c r="CX1315" s="212">
        <v>1</v>
      </c>
    </row>
    <row r="1316" spans="91:102" ht="21" customHeight="1">
      <c r="CM1316" s="210"/>
      <c r="CN1316" s="213" t="s">
        <v>3975</v>
      </c>
      <c r="CO1316" s="213" t="s">
        <v>896</v>
      </c>
      <c r="CP1316" s="213" t="s">
        <v>879</v>
      </c>
      <c r="CQ1316" s="213" t="s">
        <v>3976</v>
      </c>
      <c r="CR1316" s="213" t="s">
        <v>3976</v>
      </c>
      <c r="CS1316" s="213" t="s">
        <v>1620</v>
      </c>
      <c r="CT1316" s="213" t="s">
        <v>1621</v>
      </c>
      <c r="CU1316" s="213" t="s">
        <v>2206</v>
      </c>
      <c r="CV1316" s="214" t="s">
        <v>2207</v>
      </c>
      <c r="CX1316" s="212">
        <v>1</v>
      </c>
    </row>
    <row r="1317" spans="91:102" ht="21" customHeight="1">
      <c r="CM1317" s="210"/>
      <c r="CN1317" s="213" t="s">
        <v>3977</v>
      </c>
      <c r="CO1317" s="213" t="s">
        <v>896</v>
      </c>
      <c r="CP1317" s="213" t="s">
        <v>879</v>
      </c>
      <c r="CQ1317" s="213" t="s">
        <v>3978</v>
      </c>
      <c r="CR1317" s="213" t="s">
        <v>3978</v>
      </c>
      <c r="CS1317" s="213" t="s">
        <v>1620</v>
      </c>
      <c r="CT1317" s="213" t="s">
        <v>1621</v>
      </c>
      <c r="CU1317" s="213" t="s">
        <v>2206</v>
      </c>
      <c r="CV1317" s="214" t="s">
        <v>2207</v>
      </c>
      <c r="CX1317" s="212">
        <v>1</v>
      </c>
    </row>
    <row r="1318" spans="91:102" ht="21" customHeight="1">
      <c r="CM1318" s="210"/>
      <c r="CN1318" s="213" t="s">
        <v>3979</v>
      </c>
      <c r="CO1318" s="213" t="s">
        <v>896</v>
      </c>
      <c r="CP1318" s="213" t="s">
        <v>879</v>
      </c>
      <c r="CQ1318" s="213" t="s">
        <v>3980</v>
      </c>
      <c r="CR1318" s="213" t="s">
        <v>3980</v>
      </c>
      <c r="CS1318" s="213" t="s">
        <v>1620</v>
      </c>
      <c r="CT1318" s="213" t="s">
        <v>1621</v>
      </c>
      <c r="CU1318" s="213" t="s">
        <v>2206</v>
      </c>
      <c r="CV1318" s="214" t="s">
        <v>2207</v>
      </c>
      <c r="CX1318" s="212">
        <v>1</v>
      </c>
    </row>
    <row r="1319" spans="91:102" ht="21" customHeight="1">
      <c r="CM1319" s="210"/>
      <c r="CN1319" s="213" t="s">
        <v>3981</v>
      </c>
      <c r="CO1319" s="213" t="s">
        <v>896</v>
      </c>
      <c r="CP1319" s="213" t="s">
        <v>879</v>
      </c>
      <c r="CQ1319" s="213" t="s">
        <v>3982</v>
      </c>
      <c r="CR1319" s="213" t="s">
        <v>3982</v>
      </c>
      <c r="CS1319" s="213" t="s">
        <v>1620</v>
      </c>
      <c r="CT1319" s="213" t="s">
        <v>1621</v>
      </c>
      <c r="CU1319" s="213" t="s">
        <v>2206</v>
      </c>
      <c r="CV1319" s="214" t="s">
        <v>2207</v>
      </c>
      <c r="CX1319" s="212">
        <v>1</v>
      </c>
    </row>
    <row r="1320" spans="91:102" ht="21" customHeight="1">
      <c r="CM1320" s="210"/>
      <c r="CN1320" s="213" t="s">
        <v>3983</v>
      </c>
      <c r="CO1320" s="213" t="s">
        <v>896</v>
      </c>
      <c r="CP1320" s="213" t="s">
        <v>879</v>
      </c>
      <c r="CQ1320" s="213" t="s">
        <v>3984</v>
      </c>
      <c r="CR1320" s="213" t="s">
        <v>3984</v>
      </c>
      <c r="CS1320" s="213" t="s">
        <v>1620</v>
      </c>
      <c r="CT1320" s="213" t="s">
        <v>1621</v>
      </c>
      <c r="CU1320" s="213" t="s">
        <v>2206</v>
      </c>
      <c r="CV1320" s="214" t="s">
        <v>2207</v>
      </c>
      <c r="CX1320" s="212">
        <v>1</v>
      </c>
    </row>
    <row r="1321" spans="91:102" ht="21" customHeight="1">
      <c r="CM1321" s="210"/>
      <c r="CN1321" s="213" t="s">
        <v>3985</v>
      </c>
      <c r="CO1321" s="213" t="s">
        <v>896</v>
      </c>
      <c r="CP1321" s="213" t="s">
        <v>879</v>
      </c>
      <c r="CQ1321" s="213" t="s">
        <v>3986</v>
      </c>
      <c r="CR1321" s="213" t="s">
        <v>3986</v>
      </c>
      <c r="CS1321" s="213" t="s">
        <v>1620</v>
      </c>
      <c r="CT1321" s="213" t="s">
        <v>1621</v>
      </c>
      <c r="CU1321" s="213" t="s">
        <v>2206</v>
      </c>
      <c r="CV1321" s="214" t="s">
        <v>2207</v>
      </c>
      <c r="CX1321" s="212">
        <v>1</v>
      </c>
    </row>
    <row r="1322" spans="91:102" ht="21" customHeight="1">
      <c r="CM1322" s="210"/>
      <c r="CN1322" s="213" t="s">
        <v>3987</v>
      </c>
      <c r="CO1322" s="213" t="s">
        <v>896</v>
      </c>
      <c r="CP1322" s="213" t="s">
        <v>879</v>
      </c>
      <c r="CQ1322" s="213" t="s">
        <v>3988</v>
      </c>
      <c r="CR1322" s="213" t="s">
        <v>3988</v>
      </c>
      <c r="CS1322" s="213" t="s">
        <v>1620</v>
      </c>
      <c r="CT1322" s="213" t="s">
        <v>1621</v>
      </c>
      <c r="CU1322" s="213" t="s">
        <v>2206</v>
      </c>
      <c r="CV1322" s="214" t="s">
        <v>2207</v>
      </c>
      <c r="CX1322" s="212">
        <v>1</v>
      </c>
    </row>
    <row r="1323" spans="91:102" ht="21" customHeight="1">
      <c r="CM1323" s="210"/>
      <c r="CN1323" s="213" t="s">
        <v>3989</v>
      </c>
      <c r="CO1323" s="213" t="s">
        <v>896</v>
      </c>
      <c r="CP1323" s="213" t="s">
        <v>879</v>
      </c>
      <c r="CQ1323" s="213" t="s">
        <v>3990</v>
      </c>
      <c r="CR1323" s="213" t="s">
        <v>3990</v>
      </c>
      <c r="CS1323" s="213" t="s">
        <v>1620</v>
      </c>
      <c r="CT1323" s="213" t="s">
        <v>1621</v>
      </c>
      <c r="CU1323" s="213" t="s">
        <v>2206</v>
      </c>
      <c r="CV1323" s="214" t="s">
        <v>2207</v>
      </c>
      <c r="CX1323" s="212">
        <v>1</v>
      </c>
    </row>
    <row r="1324" spans="91:102" ht="21" customHeight="1">
      <c r="CM1324" s="210"/>
      <c r="CN1324" s="213" t="s">
        <v>3991</v>
      </c>
      <c r="CO1324" s="213" t="s">
        <v>896</v>
      </c>
      <c r="CP1324" s="213" t="s">
        <v>879</v>
      </c>
      <c r="CQ1324" s="213" t="s">
        <v>3992</v>
      </c>
      <c r="CR1324" s="213" t="s">
        <v>3992</v>
      </c>
      <c r="CS1324" s="213" t="s">
        <v>1620</v>
      </c>
      <c r="CT1324" s="213" t="s">
        <v>1621</v>
      </c>
      <c r="CU1324" s="213" t="s">
        <v>2206</v>
      </c>
      <c r="CV1324" s="214" t="s">
        <v>2207</v>
      </c>
      <c r="CX1324" s="212">
        <v>1</v>
      </c>
    </row>
    <row r="1325" spans="91:102" ht="21" customHeight="1">
      <c r="CM1325" s="210"/>
      <c r="CN1325" s="213" t="s">
        <v>3993</v>
      </c>
      <c r="CO1325" s="213" t="s">
        <v>896</v>
      </c>
      <c r="CP1325" s="213" t="s">
        <v>879</v>
      </c>
      <c r="CQ1325" s="213" t="s">
        <v>3994</v>
      </c>
      <c r="CR1325" s="213" t="s">
        <v>3994</v>
      </c>
      <c r="CS1325" s="213" t="s">
        <v>1620</v>
      </c>
      <c r="CT1325" s="213" t="s">
        <v>1621</v>
      </c>
      <c r="CU1325" s="213" t="s">
        <v>2206</v>
      </c>
      <c r="CV1325" s="214" t="s">
        <v>2207</v>
      </c>
      <c r="CX1325" s="212">
        <v>1</v>
      </c>
    </row>
    <row r="1326" spans="91:102" ht="21" customHeight="1">
      <c r="CM1326" s="210"/>
      <c r="CN1326" s="213" t="s">
        <v>3995</v>
      </c>
      <c r="CO1326" s="213" t="s">
        <v>896</v>
      </c>
      <c r="CP1326" s="213" t="s">
        <v>879</v>
      </c>
      <c r="CQ1326" s="213" t="s">
        <v>3996</v>
      </c>
      <c r="CR1326" s="213" t="s">
        <v>3996</v>
      </c>
      <c r="CS1326" s="213" t="s">
        <v>1620</v>
      </c>
      <c r="CT1326" s="213" t="s">
        <v>1621</v>
      </c>
      <c r="CU1326" s="213" t="s">
        <v>2206</v>
      </c>
      <c r="CV1326" s="214" t="s">
        <v>2207</v>
      </c>
      <c r="CX1326" s="212">
        <v>1</v>
      </c>
    </row>
    <row r="1327" spans="91:102" ht="21" customHeight="1">
      <c r="CM1327" s="210"/>
      <c r="CN1327" s="213" t="s">
        <v>3997</v>
      </c>
      <c r="CO1327" s="213" t="s">
        <v>896</v>
      </c>
      <c r="CP1327" s="213" t="s">
        <v>879</v>
      </c>
      <c r="CQ1327" s="213" t="s">
        <v>3998</v>
      </c>
      <c r="CR1327" s="213" t="s">
        <v>3998</v>
      </c>
      <c r="CS1327" s="213" t="s">
        <v>1620</v>
      </c>
      <c r="CT1327" s="213" t="s">
        <v>1621</v>
      </c>
      <c r="CU1327" s="213" t="s">
        <v>2206</v>
      </c>
      <c r="CV1327" s="214" t="s">
        <v>2207</v>
      </c>
      <c r="CX1327" s="212">
        <v>1</v>
      </c>
    </row>
    <row r="1328" spans="91:102" ht="21" customHeight="1">
      <c r="CM1328" s="210"/>
      <c r="CN1328" s="213" t="s">
        <v>3999</v>
      </c>
      <c r="CO1328" s="213" t="s">
        <v>896</v>
      </c>
      <c r="CP1328" s="213" t="s">
        <v>879</v>
      </c>
      <c r="CQ1328" s="213" t="s">
        <v>4000</v>
      </c>
      <c r="CR1328" s="213" t="s">
        <v>4000</v>
      </c>
      <c r="CS1328" s="213" t="s">
        <v>1620</v>
      </c>
      <c r="CT1328" s="213" t="s">
        <v>1621</v>
      </c>
      <c r="CU1328" s="213" t="s">
        <v>2206</v>
      </c>
      <c r="CV1328" s="214" t="s">
        <v>2207</v>
      </c>
      <c r="CX1328" s="212">
        <v>1</v>
      </c>
    </row>
    <row r="1329" spans="91:102" ht="21" customHeight="1">
      <c r="CM1329" s="210"/>
      <c r="CN1329" s="213" t="s">
        <v>4001</v>
      </c>
      <c r="CO1329" s="213" t="s">
        <v>896</v>
      </c>
      <c r="CP1329" s="213" t="s">
        <v>879</v>
      </c>
      <c r="CQ1329" s="213" t="s">
        <v>4002</v>
      </c>
      <c r="CR1329" s="213" t="s">
        <v>4002</v>
      </c>
      <c r="CS1329" s="213" t="s">
        <v>1620</v>
      </c>
      <c r="CT1329" s="213" t="s">
        <v>1621</v>
      </c>
      <c r="CU1329" s="213" t="s">
        <v>2206</v>
      </c>
      <c r="CV1329" s="214" t="s">
        <v>2207</v>
      </c>
      <c r="CX1329" s="212">
        <v>1</v>
      </c>
    </row>
    <row r="1330" spans="91:102" ht="21" customHeight="1">
      <c r="CM1330" s="210"/>
      <c r="CN1330" s="213" t="s">
        <v>4003</v>
      </c>
      <c r="CO1330" s="213" t="s">
        <v>896</v>
      </c>
      <c r="CP1330" s="213" t="s">
        <v>879</v>
      </c>
      <c r="CQ1330" s="213" t="s">
        <v>4004</v>
      </c>
      <c r="CR1330" s="213" t="s">
        <v>4004</v>
      </c>
      <c r="CS1330" s="213" t="s">
        <v>1620</v>
      </c>
      <c r="CT1330" s="213" t="s">
        <v>1621</v>
      </c>
      <c r="CU1330" s="213" t="s">
        <v>2206</v>
      </c>
      <c r="CV1330" s="214" t="s">
        <v>2207</v>
      </c>
      <c r="CX1330" s="212">
        <v>1</v>
      </c>
    </row>
    <row r="1331" spans="91:102" ht="21" customHeight="1">
      <c r="CM1331" s="210"/>
      <c r="CN1331" s="213" t="s">
        <v>4005</v>
      </c>
      <c r="CO1331" s="213" t="s">
        <v>896</v>
      </c>
      <c r="CP1331" s="213" t="s">
        <v>879</v>
      </c>
      <c r="CQ1331" s="213" t="s">
        <v>4006</v>
      </c>
      <c r="CR1331" s="213" t="s">
        <v>4006</v>
      </c>
      <c r="CS1331" s="213" t="s">
        <v>1620</v>
      </c>
      <c r="CT1331" s="213" t="s">
        <v>1621</v>
      </c>
      <c r="CU1331" s="213" t="s">
        <v>2206</v>
      </c>
      <c r="CV1331" s="214" t="s">
        <v>2207</v>
      </c>
      <c r="CX1331" s="212">
        <v>1</v>
      </c>
    </row>
    <row r="1332" spans="91:102" ht="21" customHeight="1">
      <c r="CM1332" s="210"/>
      <c r="CN1332" s="213" t="s">
        <v>4007</v>
      </c>
      <c r="CO1332" s="213" t="s">
        <v>896</v>
      </c>
      <c r="CP1332" s="213" t="s">
        <v>879</v>
      </c>
      <c r="CQ1332" s="213" t="s">
        <v>4008</v>
      </c>
      <c r="CR1332" s="213" t="s">
        <v>4008</v>
      </c>
      <c r="CS1332" s="213" t="s">
        <v>1620</v>
      </c>
      <c r="CT1332" s="213" t="s">
        <v>1621</v>
      </c>
      <c r="CU1332" s="213" t="s">
        <v>2206</v>
      </c>
      <c r="CV1332" s="214" t="s">
        <v>2207</v>
      </c>
      <c r="CX1332" s="212">
        <v>1</v>
      </c>
    </row>
    <row r="1333" spans="91:102" ht="21" customHeight="1">
      <c r="CM1333" s="210"/>
      <c r="CN1333" s="213" t="s">
        <v>4009</v>
      </c>
      <c r="CO1333" s="213" t="s">
        <v>896</v>
      </c>
      <c r="CP1333" s="213" t="s">
        <v>879</v>
      </c>
      <c r="CQ1333" s="213" t="s">
        <v>4010</v>
      </c>
      <c r="CR1333" s="213" t="s">
        <v>4010</v>
      </c>
      <c r="CS1333" s="213" t="s">
        <v>1620</v>
      </c>
      <c r="CT1333" s="213" t="s">
        <v>1621</v>
      </c>
      <c r="CU1333" s="213" t="s">
        <v>2206</v>
      </c>
      <c r="CV1333" s="214" t="s">
        <v>2207</v>
      </c>
      <c r="CX1333" s="212">
        <v>1</v>
      </c>
    </row>
    <row r="1334" spans="91:102" ht="21" customHeight="1">
      <c r="CM1334" s="210"/>
      <c r="CN1334" s="213" t="s">
        <v>4011</v>
      </c>
      <c r="CO1334" s="213" t="s">
        <v>896</v>
      </c>
      <c r="CP1334" s="213" t="s">
        <v>879</v>
      </c>
      <c r="CQ1334" s="213" t="s">
        <v>4012</v>
      </c>
      <c r="CR1334" s="213" t="s">
        <v>4012</v>
      </c>
      <c r="CS1334" s="213" t="s">
        <v>1620</v>
      </c>
      <c r="CT1334" s="213" t="s">
        <v>1621</v>
      </c>
      <c r="CU1334" s="213" t="s">
        <v>2206</v>
      </c>
      <c r="CV1334" s="214" t="s">
        <v>2207</v>
      </c>
      <c r="CX1334" s="212">
        <v>1</v>
      </c>
    </row>
    <row r="1335" spans="91:102" ht="21" customHeight="1">
      <c r="CM1335" s="210"/>
      <c r="CN1335" s="213" t="s">
        <v>4013</v>
      </c>
      <c r="CO1335" s="213" t="s">
        <v>896</v>
      </c>
      <c r="CP1335" s="213" t="s">
        <v>879</v>
      </c>
      <c r="CQ1335" s="213" t="s">
        <v>4014</v>
      </c>
      <c r="CR1335" s="213" t="s">
        <v>4014</v>
      </c>
      <c r="CS1335" s="213" t="s">
        <v>1620</v>
      </c>
      <c r="CT1335" s="213" t="s">
        <v>1621</v>
      </c>
      <c r="CU1335" s="213" t="s">
        <v>2206</v>
      </c>
      <c r="CV1335" s="214" t="s">
        <v>2207</v>
      </c>
      <c r="CX1335" s="212">
        <v>1</v>
      </c>
    </row>
    <row r="1336" spans="91:102" ht="21" customHeight="1">
      <c r="CM1336" s="210"/>
      <c r="CN1336" s="213" t="s">
        <v>4015</v>
      </c>
      <c r="CO1336" s="213" t="s">
        <v>896</v>
      </c>
      <c r="CP1336" s="213" t="s">
        <v>879</v>
      </c>
      <c r="CQ1336" s="213" t="s">
        <v>4016</v>
      </c>
      <c r="CR1336" s="213" t="s">
        <v>4016</v>
      </c>
      <c r="CS1336" s="213" t="s">
        <v>1620</v>
      </c>
      <c r="CT1336" s="213" t="s">
        <v>1621</v>
      </c>
      <c r="CU1336" s="213" t="s">
        <v>2206</v>
      </c>
      <c r="CV1336" s="214" t="s">
        <v>2207</v>
      </c>
      <c r="CX1336" s="212">
        <v>1</v>
      </c>
    </row>
    <row r="1337" spans="91:102" ht="21" customHeight="1">
      <c r="CM1337" s="210"/>
      <c r="CN1337" s="213" t="s">
        <v>4017</v>
      </c>
      <c r="CO1337" s="213" t="s">
        <v>896</v>
      </c>
      <c r="CP1337" s="213" t="s">
        <v>879</v>
      </c>
      <c r="CQ1337" s="213" t="s">
        <v>4018</v>
      </c>
      <c r="CR1337" s="213" t="s">
        <v>4018</v>
      </c>
      <c r="CS1337" s="213" t="s">
        <v>1620</v>
      </c>
      <c r="CT1337" s="213" t="s">
        <v>1621</v>
      </c>
      <c r="CU1337" s="213" t="s">
        <v>2206</v>
      </c>
      <c r="CV1337" s="214" t="s">
        <v>2207</v>
      </c>
      <c r="CX1337" s="212">
        <v>1</v>
      </c>
    </row>
    <row r="1338" spans="91:102" ht="21" customHeight="1">
      <c r="CM1338" s="210"/>
      <c r="CN1338" s="213" t="s">
        <v>4019</v>
      </c>
      <c r="CO1338" s="213" t="s">
        <v>896</v>
      </c>
      <c r="CP1338" s="213" t="s">
        <v>879</v>
      </c>
      <c r="CQ1338" s="213" t="s">
        <v>4020</v>
      </c>
      <c r="CR1338" s="213" t="s">
        <v>4020</v>
      </c>
      <c r="CS1338" s="213" t="s">
        <v>1620</v>
      </c>
      <c r="CT1338" s="213" t="s">
        <v>1621</v>
      </c>
      <c r="CU1338" s="213" t="s">
        <v>2206</v>
      </c>
      <c r="CV1338" s="214" t="s">
        <v>2207</v>
      </c>
      <c r="CX1338" s="212">
        <v>1</v>
      </c>
    </row>
    <row r="1339" spans="91:102" ht="21" customHeight="1">
      <c r="CM1339" s="210"/>
      <c r="CN1339" s="213" t="s">
        <v>4021</v>
      </c>
      <c r="CO1339" s="213" t="s">
        <v>896</v>
      </c>
      <c r="CP1339" s="213" t="s">
        <v>879</v>
      </c>
      <c r="CQ1339" s="213" t="s">
        <v>4022</v>
      </c>
      <c r="CR1339" s="213" t="s">
        <v>4022</v>
      </c>
      <c r="CS1339" s="213" t="s">
        <v>1620</v>
      </c>
      <c r="CT1339" s="213" t="s">
        <v>1621</v>
      </c>
      <c r="CU1339" s="213" t="s">
        <v>2206</v>
      </c>
      <c r="CV1339" s="214" t="s">
        <v>2207</v>
      </c>
      <c r="CX1339" s="212">
        <v>1</v>
      </c>
    </row>
    <row r="1340" spans="91:102" ht="21" customHeight="1">
      <c r="CM1340" s="210"/>
      <c r="CN1340" s="213" t="s">
        <v>4023</v>
      </c>
      <c r="CO1340" s="213" t="s">
        <v>896</v>
      </c>
      <c r="CP1340" s="213" t="s">
        <v>879</v>
      </c>
      <c r="CQ1340" s="213" t="s">
        <v>4024</v>
      </c>
      <c r="CR1340" s="213" t="s">
        <v>4024</v>
      </c>
      <c r="CS1340" s="213" t="s">
        <v>1620</v>
      </c>
      <c r="CT1340" s="213" t="s">
        <v>1621</v>
      </c>
      <c r="CU1340" s="213" t="s">
        <v>2206</v>
      </c>
      <c r="CV1340" s="214" t="s">
        <v>2207</v>
      </c>
      <c r="CX1340" s="212">
        <v>1</v>
      </c>
    </row>
    <row r="1341" spans="91:102" ht="21" customHeight="1">
      <c r="CM1341" s="210"/>
      <c r="CN1341" s="213" t="s">
        <v>4025</v>
      </c>
      <c r="CO1341" s="213" t="s">
        <v>896</v>
      </c>
      <c r="CP1341" s="213" t="s">
        <v>879</v>
      </c>
      <c r="CQ1341" s="213" t="s">
        <v>4026</v>
      </c>
      <c r="CR1341" s="213" t="s">
        <v>4026</v>
      </c>
      <c r="CS1341" s="213" t="s">
        <v>1620</v>
      </c>
      <c r="CT1341" s="213" t="s">
        <v>1621</v>
      </c>
      <c r="CU1341" s="213" t="s">
        <v>2206</v>
      </c>
      <c r="CV1341" s="214" t="s">
        <v>2207</v>
      </c>
      <c r="CX1341" s="212">
        <v>1</v>
      </c>
    </row>
    <row r="1342" spans="91:102" ht="21" customHeight="1">
      <c r="CM1342" s="210"/>
      <c r="CN1342" s="213" t="s">
        <v>4027</v>
      </c>
      <c r="CO1342" s="213" t="s">
        <v>896</v>
      </c>
      <c r="CP1342" s="213" t="s">
        <v>879</v>
      </c>
      <c r="CQ1342" s="213" t="s">
        <v>4028</v>
      </c>
      <c r="CR1342" s="213" t="s">
        <v>4028</v>
      </c>
      <c r="CS1342" s="213" t="s">
        <v>1620</v>
      </c>
      <c r="CT1342" s="213" t="s">
        <v>1621</v>
      </c>
      <c r="CU1342" s="213" t="s">
        <v>2206</v>
      </c>
      <c r="CV1342" s="214" t="s">
        <v>2207</v>
      </c>
      <c r="CX1342" s="212">
        <v>1</v>
      </c>
    </row>
    <row r="1343" spans="91:102" ht="21" customHeight="1">
      <c r="CM1343" s="210"/>
      <c r="CN1343" s="213" t="s">
        <v>4029</v>
      </c>
      <c r="CO1343" s="213" t="s">
        <v>896</v>
      </c>
      <c r="CP1343" s="213" t="s">
        <v>879</v>
      </c>
      <c r="CQ1343" s="213" t="s">
        <v>4030</v>
      </c>
      <c r="CR1343" s="213" t="s">
        <v>4030</v>
      </c>
      <c r="CS1343" s="213" t="s">
        <v>1620</v>
      </c>
      <c r="CT1343" s="213" t="s">
        <v>1621</v>
      </c>
      <c r="CU1343" s="213" t="s">
        <v>2206</v>
      </c>
      <c r="CV1343" s="214" t="s">
        <v>2207</v>
      </c>
      <c r="CX1343" s="212">
        <v>1</v>
      </c>
    </row>
    <row r="1344" spans="91:102" ht="21" customHeight="1">
      <c r="CM1344" s="210"/>
      <c r="CN1344" s="213" t="s">
        <v>4031</v>
      </c>
      <c r="CO1344" s="213" t="s">
        <v>896</v>
      </c>
      <c r="CP1344" s="213" t="s">
        <v>879</v>
      </c>
      <c r="CQ1344" s="213" t="s">
        <v>4032</v>
      </c>
      <c r="CR1344" s="213" t="s">
        <v>4032</v>
      </c>
      <c r="CS1344" s="213" t="s">
        <v>1620</v>
      </c>
      <c r="CT1344" s="213" t="s">
        <v>1621</v>
      </c>
      <c r="CU1344" s="213" t="s">
        <v>2206</v>
      </c>
      <c r="CV1344" s="214" t="s">
        <v>2207</v>
      </c>
      <c r="CX1344" s="212">
        <v>1</v>
      </c>
    </row>
    <row r="1345" spans="91:102" ht="21" customHeight="1">
      <c r="CM1345" s="210"/>
      <c r="CN1345" s="213" t="s">
        <v>4033</v>
      </c>
      <c r="CO1345" s="213" t="s">
        <v>896</v>
      </c>
      <c r="CP1345" s="213" t="s">
        <v>879</v>
      </c>
      <c r="CQ1345" s="213" t="s">
        <v>4034</v>
      </c>
      <c r="CR1345" s="213" t="s">
        <v>4034</v>
      </c>
      <c r="CS1345" s="213" t="s">
        <v>1620</v>
      </c>
      <c r="CT1345" s="213" t="s">
        <v>1621</v>
      </c>
      <c r="CU1345" s="213" t="s">
        <v>2206</v>
      </c>
      <c r="CV1345" s="214" t="s">
        <v>2207</v>
      </c>
      <c r="CX1345" s="212">
        <v>1</v>
      </c>
    </row>
    <row r="1346" spans="91:102" ht="21" customHeight="1">
      <c r="CM1346" s="210"/>
      <c r="CN1346" s="213" t="s">
        <v>4035</v>
      </c>
      <c r="CO1346" s="213" t="s">
        <v>896</v>
      </c>
      <c r="CP1346" s="213" t="s">
        <v>879</v>
      </c>
      <c r="CQ1346" s="213" t="s">
        <v>4036</v>
      </c>
      <c r="CR1346" s="213" t="s">
        <v>4036</v>
      </c>
      <c r="CS1346" s="213" t="s">
        <v>1620</v>
      </c>
      <c r="CT1346" s="213" t="s">
        <v>1621</v>
      </c>
      <c r="CU1346" s="213" t="s">
        <v>2206</v>
      </c>
      <c r="CV1346" s="214" t="s">
        <v>2207</v>
      </c>
      <c r="CX1346" s="212">
        <v>1</v>
      </c>
    </row>
    <row r="1347" spans="91:102" ht="21" customHeight="1">
      <c r="CM1347" s="210"/>
      <c r="CN1347" s="213" t="s">
        <v>4037</v>
      </c>
      <c r="CO1347" s="213" t="s">
        <v>896</v>
      </c>
      <c r="CP1347" s="213" t="s">
        <v>879</v>
      </c>
      <c r="CQ1347" s="213" t="s">
        <v>4038</v>
      </c>
      <c r="CR1347" s="213" t="s">
        <v>4038</v>
      </c>
      <c r="CS1347" s="213" t="s">
        <v>1620</v>
      </c>
      <c r="CT1347" s="213" t="s">
        <v>1621</v>
      </c>
      <c r="CU1347" s="213" t="s">
        <v>2206</v>
      </c>
      <c r="CV1347" s="214" t="s">
        <v>2207</v>
      </c>
      <c r="CX1347" s="212">
        <v>1</v>
      </c>
    </row>
    <row r="1348" spans="91:102" ht="21" customHeight="1">
      <c r="CM1348" s="210"/>
      <c r="CN1348" s="213" t="s">
        <v>4039</v>
      </c>
      <c r="CO1348" s="213" t="s">
        <v>896</v>
      </c>
      <c r="CP1348" s="213" t="s">
        <v>879</v>
      </c>
      <c r="CQ1348" s="213" t="s">
        <v>4040</v>
      </c>
      <c r="CR1348" s="213" t="s">
        <v>4040</v>
      </c>
      <c r="CS1348" s="213" t="s">
        <v>1620</v>
      </c>
      <c r="CT1348" s="213" t="s">
        <v>1621</v>
      </c>
      <c r="CU1348" s="213" t="s">
        <v>2206</v>
      </c>
      <c r="CV1348" s="214" t="s">
        <v>2207</v>
      </c>
      <c r="CX1348" s="212">
        <v>1</v>
      </c>
    </row>
    <row r="1349" spans="91:102" ht="21" customHeight="1">
      <c r="CM1349" s="210"/>
      <c r="CN1349" s="213" t="s">
        <v>4041</v>
      </c>
      <c r="CO1349" s="213" t="s">
        <v>896</v>
      </c>
      <c r="CP1349" s="213" t="s">
        <v>879</v>
      </c>
      <c r="CQ1349" s="213" t="s">
        <v>4042</v>
      </c>
      <c r="CR1349" s="213" t="s">
        <v>4042</v>
      </c>
      <c r="CS1349" s="213" t="s">
        <v>1620</v>
      </c>
      <c r="CT1349" s="213" t="s">
        <v>1621</v>
      </c>
      <c r="CU1349" s="213" t="s">
        <v>2206</v>
      </c>
      <c r="CV1349" s="214" t="s">
        <v>2207</v>
      </c>
      <c r="CX1349" s="212">
        <v>1</v>
      </c>
    </row>
    <row r="1350" spans="91:102" ht="21" customHeight="1">
      <c r="CM1350" s="210"/>
      <c r="CN1350" s="213" t="s">
        <v>4043</v>
      </c>
      <c r="CO1350" s="213" t="s">
        <v>896</v>
      </c>
      <c r="CP1350" s="213" t="s">
        <v>879</v>
      </c>
      <c r="CQ1350" s="213" t="s">
        <v>4044</v>
      </c>
      <c r="CR1350" s="213" t="s">
        <v>4044</v>
      </c>
      <c r="CS1350" s="213" t="s">
        <v>1620</v>
      </c>
      <c r="CT1350" s="213" t="s">
        <v>1621</v>
      </c>
      <c r="CU1350" s="213" t="s">
        <v>2206</v>
      </c>
      <c r="CV1350" s="214" t="s">
        <v>2207</v>
      </c>
      <c r="CX1350" s="212">
        <v>1</v>
      </c>
    </row>
    <row r="1351" spans="91:102" ht="21" customHeight="1">
      <c r="CM1351" s="210"/>
      <c r="CN1351" s="213" t="s">
        <v>4045</v>
      </c>
      <c r="CO1351" s="213" t="s">
        <v>896</v>
      </c>
      <c r="CP1351" s="213" t="s">
        <v>879</v>
      </c>
      <c r="CQ1351" s="213" t="s">
        <v>4046</v>
      </c>
      <c r="CR1351" s="213" t="s">
        <v>4046</v>
      </c>
      <c r="CS1351" s="213" t="s">
        <v>1620</v>
      </c>
      <c r="CT1351" s="213" t="s">
        <v>1621</v>
      </c>
      <c r="CU1351" s="213" t="s">
        <v>2206</v>
      </c>
      <c r="CV1351" s="214" t="s">
        <v>2207</v>
      </c>
      <c r="CX1351" s="212">
        <v>1</v>
      </c>
    </row>
    <row r="1352" spans="91:102" ht="21" customHeight="1">
      <c r="CM1352" s="210"/>
      <c r="CN1352" s="213" t="s">
        <v>4047</v>
      </c>
      <c r="CO1352" s="213" t="s">
        <v>896</v>
      </c>
      <c r="CP1352" s="213" t="s">
        <v>879</v>
      </c>
      <c r="CQ1352" s="213" t="s">
        <v>4048</v>
      </c>
      <c r="CR1352" s="213" t="s">
        <v>4048</v>
      </c>
      <c r="CS1352" s="213" t="s">
        <v>1620</v>
      </c>
      <c r="CT1352" s="213" t="s">
        <v>1621</v>
      </c>
      <c r="CU1352" s="213" t="s">
        <v>2206</v>
      </c>
      <c r="CV1352" s="214" t="s">
        <v>2207</v>
      </c>
      <c r="CX1352" s="212">
        <v>1</v>
      </c>
    </row>
    <row r="1353" spans="91:102" ht="21" customHeight="1">
      <c r="CM1353" s="210"/>
      <c r="CN1353" s="213" t="s">
        <v>4049</v>
      </c>
      <c r="CO1353" s="213" t="s">
        <v>896</v>
      </c>
      <c r="CP1353" s="213" t="s">
        <v>879</v>
      </c>
      <c r="CQ1353" s="213" t="s">
        <v>4050</v>
      </c>
      <c r="CR1353" s="213" t="s">
        <v>4050</v>
      </c>
      <c r="CS1353" s="213" t="s">
        <v>1620</v>
      </c>
      <c r="CT1353" s="213" t="s">
        <v>1621</v>
      </c>
      <c r="CU1353" s="213" t="s">
        <v>2206</v>
      </c>
      <c r="CV1353" s="214" t="s">
        <v>2207</v>
      </c>
      <c r="CX1353" s="212">
        <v>1</v>
      </c>
    </row>
    <row r="1354" spans="91:102" ht="21" customHeight="1">
      <c r="CM1354" s="210"/>
      <c r="CN1354" s="213" t="s">
        <v>4051</v>
      </c>
      <c r="CO1354" s="213" t="s">
        <v>896</v>
      </c>
      <c r="CP1354" s="213" t="s">
        <v>879</v>
      </c>
      <c r="CQ1354" s="213" t="s">
        <v>4052</v>
      </c>
      <c r="CR1354" s="213" t="s">
        <v>4052</v>
      </c>
      <c r="CS1354" s="213" t="s">
        <v>1620</v>
      </c>
      <c r="CT1354" s="213" t="s">
        <v>1621</v>
      </c>
      <c r="CU1354" s="213" t="s">
        <v>2206</v>
      </c>
      <c r="CV1354" s="214" t="s">
        <v>2207</v>
      </c>
      <c r="CX1354" s="212">
        <v>1</v>
      </c>
    </row>
    <row r="1355" spans="91:102" ht="21" customHeight="1">
      <c r="CM1355" s="210"/>
      <c r="CN1355" s="213" t="s">
        <v>4053</v>
      </c>
      <c r="CO1355" s="213" t="s">
        <v>896</v>
      </c>
      <c r="CP1355" s="213" t="s">
        <v>879</v>
      </c>
      <c r="CQ1355" s="213" t="s">
        <v>4054</v>
      </c>
      <c r="CR1355" s="213" t="s">
        <v>4054</v>
      </c>
      <c r="CS1355" s="213" t="s">
        <v>1620</v>
      </c>
      <c r="CT1355" s="213" t="s">
        <v>1621</v>
      </c>
      <c r="CU1355" s="213" t="s">
        <v>2206</v>
      </c>
      <c r="CV1355" s="214" t="s">
        <v>2207</v>
      </c>
      <c r="CX1355" s="212">
        <v>1</v>
      </c>
    </row>
    <row r="1356" spans="91:102" ht="21" customHeight="1">
      <c r="CM1356" s="210"/>
      <c r="CN1356" s="213" t="s">
        <v>4055</v>
      </c>
      <c r="CO1356" s="213" t="s">
        <v>896</v>
      </c>
      <c r="CP1356" s="213" t="s">
        <v>879</v>
      </c>
      <c r="CQ1356" s="213" t="s">
        <v>4056</v>
      </c>
      <c r="CR1356" s="213" t="s">
        <v>4056</v>
      </c>
      <c r="CS1356" s="213" t="s">
        <v>1620</v>
      </c>
      <c r="CT1356" s="213" t="s">
        <v>1621</v>
      </c>
      <c r="CU1356" s="213" t="s">
        <v>2206</v>
      </c>
      <c r="CV1356" s="214" t="s">
        <v>2207</v>
      </c>
      <c r="CX1356" s="212">
        <v>1</v>
      </c>
    </row>
    <row r="1357" spans="91:102" ht="21" customHeight="1">
      <c r="CM1357" s="210"/>
      <c r="CN1357" s="213" t="s">
        <v>4057</v>
      </c>
      <c r="CO1357" s="213" t="s">
        <v>896</v>
      </c>
      <c r="CP1357" s="213" t="s">
        <v>879</v>
      </c>
      <c r="CQ1357" s="213" t="s">
        <v>4058</v>
      </c>
      <c r="CR1357" s="213" t="s">
        <v>4058</v>
      </c>
      <c r="CS1357" s="213" t="s">
        <v>1620</v>
      </c>
      <c r="CT1357" s="213" t="s">
        <v>1621</v>
      </c>
      <c r="CU1357" s="213" t="s">
        <v>2206</v>
      </c>
      <c r="CV1357" s="214" t="s">
        <v>2207</v>
      </c>
      <c r="CX1357" s="212">
        <v>1</v>
      </c>
    </row>
    <row r="1358" spans="91:102" ht="21" customHeight="1">
      <c r="CM1358" s="210"/>
      <c r="CN1358" s="213" t="s">
        <v>4059</v>
      </c>
      <c r="CO1358" s="213" t="s">
        <v>896</v>
      </c>
      <c r="CP1358" s="213" t="s">
        <v>879</v>
      </c>
      <c r="CQ1358" s="213" t="s">
        <v>4060</v>
      </c>
      <c r="CR1358" s="213" t="s">
        <v>4060</v>
      </c>
      <c r="CS1358" s="213" t="s">
        <v>1620</v>
      </c>
      <c r="CT1358" s="213" t="s">
        <v>1621</v>
      </c>
      <c r="CU1358" s="213" t="s">
        <v>2206</v>
      </c>
      <c r="CV1358" s="214" t="s">
        <v>2207</v>
      </c>
      <c r="CX1358" s="212">
        <v>1</v>
      </c>
    </row>
    <row r="1359" spans="91:102" ht="21" customHeight="1">
      <c r="CM1359" s="210"/>
      <c r="CN1359" s="213" t="s">
        <v>4061</v>
      </c>
      <c r="CO1359" s="213" t="s">
        <v>896</v>
      </c>
      <c r="CP1359" s="213" t="s">
        <v>879</v>
      </c>
      <c r="CQ1359" s="213" t="s">
        <v>4062</v>
      </c>
      <c r="CR1359" s="213" t="s">
        <v>4062</v>
      </c>
      <c r="CS1359" s="213" t="s">
        <v>1620</v>
      </c>
      <c r="CT1359" s="213" t="s">
        <v>1621</v>
      </c>
      <c r="CU1359" s="213" t="s">
        <v>2206</v>
      </c>
      <c r="CV1359" s="214" t="s">
        <v>2207</v>
      </c>
      <c r="CX1359" s="212">
        <v>1</v>
      </c>
    </row>
    <row r="1360" spans="91:102" ht="21" customHeight="1">
      <c r="CM1360" s="210"/>
      <c r="CN1360" s="213" t="s">
        <v>4063</v>
      </c>
      <c r="CO1360" s="213" t="s">
        <v>896</v>
      </c>
      <c r="CP1360" s="213" t="s">
        <v>879</v>
      </c>
      <c r="CQ1360" s="213" t="s">
        <v>4064</v>
      </c>
      <c r="CR1360" s="213" t="s">
        <v>4064</v>
      </c>
      <c r="CS1360" s="213" t="s">
        <v>1620</v>
      </c>
      <c r="CT1360" s="213" t="s">
        <v>1621</v>
      </c>
      <c r="CU1360" s="213" t="s">
        <v>2206</v>
      </c>
      <c r="CV1360" s="214" t="s">
        <v>2207</v>
      </c>
      <c r="CX1360" s="212">
        <v>1</v>
      </c>
    </row>
    <row r="1361" spans="91:102" ht="21" customHeight="1">
      <c r="CM1361" s="210"/>
      <c r="CN1361" s="213" t="s">
        <v>4065</v>
      </c>
      <c r="CO1361" s="213" t="s">
        <v>896</v>
      </c>
      <c r="CP1361" s="213" t="s">
        <v>879</v>
      </c>
      <c r="CQ1361" s="213" t="s">
        <v>4066</v>
      </c>
      <c r="CR1361" s="213" t="s">
        <v>4066</v>
      </c>
      <c r="CS1361" s="213" t="s">
        <v>1620</v>
      </c>
      <c r="CT1361" s="213" t="s">
        <v>1621</v>
      </c>
      <c r="CU1361" s="213" t="s">
        <v>2206</v>
      </c>
      <c r="CV1361" s="214" t="s">
        <v>2207</v>
      </c>
      <c r="CX1361" s="212">
        <v>1</v>
      </c>
    </row>
    <row r="1362" spans="91:102" ht="21" customHeight="1">
      <c r="CM1362" s="210"/>
      <c r="CN1362" s="213" t="s">
        <v>4067</v>
      </c>
      <c r="CO1362" s="213" t="s">
        <v>896</v>
      </c>
      <c r="CP1362" s="213" t="s">
        <v>879</v>
      </c>
      <c r="CQ1362" s="213" t="s">
        <v>4068</v>
      </c>
      <c r="CR1362" s="213" t="s">
        <v>4068</v>
      </c>
      <c r="CS1362" s="213" t="s">
        <v>1620</v>
      </c>
      <c r="CT1362" s="213" t="s">
        <v>1621</v>
      </c>
      <c r="CU1362" s="213" t="s">
        <v>2206</v>
      </c>
      <c r="CV1362" s="214" t="s">
        <v>2207</v>
      </c>
      <c r="CX1362" s="212">
        <v>1</v>
      </c>
    </row>
    <row r="1363" spans="91:102" ht="21" customHeight="1">
      <c r="CM1363" s="210"/>
      <c r="CN1363" s="213" t="s">
        <v>4069</v>
      </c>
      <c r="CO1363" s="213" t="s">
        <v>896</v>
      </c>
      <c r="CP1363" s="213" t="s">
        <v>879</v>
      </c>
      <c r="CQ1363" s="213" t="s">
        <v>4070</v>
      </c>
      <c r="CR1363" s="213" t="s">
        <v>4070</v>
      </c>
      <c r="CS1363" s="213" t="s">
        <v>1620</v>
      </c>
      <c r="CT1363" s="213" t="s">
        <v>1621</v>
      </c>
      <c r="CU1363" s="213" t="s">
        <v>2206</v>
      </c>
      <c r="CV1363" s="214" t="s">
        <v>2207</v>
      </c>
      <c r="CX1363" s="212">
        <v>1</v>
      </c>
    </row>
    <row r="1364" spans="91:102" ht="21" customHeight="1">
      <c r="CM1364" s="210"/>
      <c r="CN1364" s="213" t="s">
        <v>4071</v>
      </c>
      <c r="CO1364" s="213" t="s">
        <v>896</v>
      </c>
      <c r="CP1364" s="213" t="s">
        <v>1290</v>
      </c>
      <c r="CQ1364" s="213" t="s">
        <v>4072</v>
      </c>
      <c r="CR1364" s="213" t="s">
        <v>4073</v>
      </c>
      <c r="CS1364" s="213" t="s">
        <v>971</v>
      </c>
      <c r="CT1364" s="213" t="s">
        <v>1292</v>
      </c>
      <c r="CU1364" s="213" t="s">
        <v>883</v>
      </c>
      <c r="CV1364" s="214" t="s">
        <v>973</v>
      </c>
      <c r="CX1364" s="212">
        <v>1</v>
      </c>
    </row>
    <row r="1365" spans="91:102" ht="21" customHeight="1">
      <c r="CM1365" s="210"/>
      <c r="CN1365" s="213" t="s">
        <v>4074</v>
      </c>
      <c r="CO1365" s="213" t="s">
        <v>896</v>
      </c>
      <c r="CP1365" s="213" t="s">
        <v>1290</v>
      </c>
      <c r="CQ1365" s="213" t="s">
        <v>4075</v>
      </c>
      <c r="CR1365" s="213" t="s">
        <v>4076</v>
      </c>
      <c r="CS1365" s="213" t="s">
        <v>971</v>
      </c>
      <c r="CT1365" s="213" t="s">
        <v>1292</v>
      </c>
      <c r="CU1365" s="213" t="s">
        <v>883</v>
      </c>
      <c r="CV1365" s="214" t="s">
        <v>973</v>
      </c>
      <c r="CX1365" s="212">
        <v>1</v>
      </c>
    </row>
    <row r="1366" spans="91:102" ht="21" customHeight="1">
      <c r="CM1366" s="210"/>
      <c r="CN1366" s="213" t="s">
        <v>4077</v>
      </c>
      <c r="CO1366" s="213" t="s">
        <v>896</v>
      </c>
      <c r="CP1366" s="213" t="s">
        <v>1290</v>
      </c>
      <c r="CQ1366" s="213" t="s">
        <v>4078</v>
      </c>
      <c r="CR1366" s="213" t="s">
        <v>4079</v>
      </c>
      <c r="CS1366" s="213" t="s">
        <v>971</v>
      </c>
      <c r="CT1366" s="213" t="s">
        <v>1292</v>
      </c>
      <c r="CU1366" s="213" t="s">
        <v>883</v>
      </c>
      <c r="CV1366" s="214" t="s">
        <v>973</v>
      </c>
      <c r="CX1366" s="212">
        <v>1</v>
      </c>
    </row>
    <row r="1367" spans="91:102" ht="21" customHeight="1">
      <c r="CM1367" s="210"/>
      <c r="CN1367" s="213" t="s">
        <v>4080</v>
      </c>
      <c r="CO1367" s="213" t="s">
        <v>896</v>
      </c>
      <c r="CP1367" s="213" t="s">
        <v>1290</v>
      </c>
      <c r="CQ1367" s="213" t="s">
        <v>4081</v>
      </c>
      <c r="CR1367" s="213" t="s">
        <v>4082</v>
      </c>
      <c r="CS1367" s="213" t="s">
        <v>971</v>
      </c>
      <c r="CT1367" s="213" t="s">
        <v>1292</v>
      </c>
      <c r="CU1367" s="213" t="s">
        <v>883</v>
      </c>
      <c r="CV1367" s="214" t="s">
        <v>973</v>
      </c>
      <c r="CX1367" s="212">
        <v>1</v>
      </c>
    </row>
    <row r="1368" spans="91:102" ht="21" customHeight="1">
      <c r="CM1368" s="210"/>
      <c r="CN1368" s="213" t="s">
        <v>4083</v>
      </c>
      <c r="CO1368" s="213" t="s">
        <v>896</v>
      </c>
      <c r="CP1368" s="213" t="s">
        <v>1290</v>
      </c>
      <c r="CQ1368" s="213" t="s">
        <v>4084</v>
      </c>
      <c r="CR1368" s="213" t="s">
        <v>4085</v>
      </c>
      <c r="CS1368" s="213" t="s">
        <v>971</v>
      </c>
      <c r="CT1368" s="213" t="s">
        <v>1292</v>
      </c>
      <c r="CU1368" s="213" t="s">
        <v>883</v>
      </c>
      <c r="CV1368" s="214" t="s">
        <v>973</v>
      </c>
      <c r="CX1368" s="212">
        <v>1</v>
      </c>
    </row>
    <row r="1369" spans="91:102" ht="21" customHeight="1">
      <c r="CM1369" s="210"/>
      <c r="CN1369" s="213" t="s">
        <v>4086</v>
      </c>
      <c r="CO1369" s="213" t="s">
        <v>896</v>
      </c>
      <c r="CP1369" s="213" t="s">
        <v>1290</v>
      </c>
      <c r="CQ1369" s="213" t="s">
        <v>4087</v>
      </c>
      <c r="CR1369" s="213" t="s">
        <v>4087</v>
      </c>
      <c r="CS1369" s="213" t="s">
        <v>971</v>
      </c>
      <c r="CT1369" s="213" t="s">
        <v>1292</v>
      </c>
      <c r="CU1369" s="213" t="s">
        <v>883</v>
      </c>
      <c r="CV1369" s="214" t="s">
        <v>973</v>
      </c>
      <c r="CX1369" s="212">
        <v>1</v>
      </c>
    </row>
    <row r="1370" spans="91:102" ht="21" customHeight="1">
      <c r="CM1370" s="210"/>
      <c r="CN1370" s="213" t="s">
        <v>4088</v>
      </c>
      <c r="CO1370" s="213" t="s">
        <v>896</v>
      </c>
      <c r="CP1370" s="213" t="s">
        <v>1290</v>
      </c>
      <c r="CQ1370" s="213" t="s">
        <v>4089</v>
      </c>
      <c r="CR1370" s="213" t="s">
        <v>4089</v>
      </c>
      <c r="CS1370" s="213" t="s">
        <v>971</v>
      </c>
      <c r="CT1370" s="213" t="s">
        <v>1292</v>
      </c>
      <c r="CU1370" s="213" t="s">
        <v>883</v>
      </c>
      <c r="CV1370" s="214" t="s">
        <v>973</v>
      </c>
      <c r="CX1370" s="212">
        <v>1</v>
      </c>
    </row>
    <row r="1371" spans="91:102" ht="21" customHeight="1">
      <c r="CM1371" s="210"/>
      <c r="CN1371" s="213" t="s">
        <v>4090</v>
      </c>
      <c r="CO1371" s="213" t="s">
        <v>896</v>
      </c>
      <c r="CP1371" s="213" t="s">
        <v>1290</v>
      </c>
      <c r="CQ1371" s="213" t="s">
        <v>4091</v>
      </c>
      <c r="CR1371" s="213" t="s">
        <v>4091</v>
      </c>
      <c r="CS1371" s="213" t="s">
        <v>971</v>
      </c>
      <c r="CT1371" s="213" t="s">
        <v>1292</v>
      </c>
      <c r="CU1371" s="213" t="s">
        <v>883</v>
      </c>
      <c r="CV1371" s="214" t="s">
        <v>973</v>
      </c>
      <c r="CX1371" s="212">
        <v>1</v>
      </c>
    </row>
    <row r="1372" spans="91:102" ht="21" customHeight="1">
      <c r="CM1372" s="210"/>
      <c r="CN1372" s="213" t="s">
        <v>4092</v>
      </c>
      <c r="CO1372" s="213" t="s">
        <v>896</v>
      </c>
      <c r="CP1372" s="213" t="s">
        <v>1290</v>
      </c>
      <c r="CQ1372" s="213" t="s">
        <v>4093</v>
      </c>
      <c r="CR1372" s="213" t="s">
        <v>4093</v>
      </c>
      <c r="CS1372" s="213" t="s">
        <v>971</v>
      </c>
      <c r="CT1372" s="213" t="s">
        <v>1292</v>
      </c>
      <c r="CU1372" s="213" t="s">
        <v>883</v>
      </c>
      <c r="CV1372" s="214" t="s">
        <v>973</v>
      </c>
      <c r="CX1372" s="212">
        <v>1</v>
      </c>
    </row>
    <row r="1373" spans="91:102" ht="21" customHeight="1">
      <c r="CM1373" s="210"/>
      <c r="CN1373" s="213" t="s">
        <v>4094</v>
      </c>
      <c r="CO1373" s="213" t="s">
        <v>896</v>
      </c>
      <c r="CP1373" s="213" t="s">
        <v>1543</v>
      </c>
      <c r="CQ1373" s="213" t="s">
        <v>4095</v>
      </c>
      <c r="CR1373" s="213" t="s">
        <v>4096</v>
      </c>
      <c r="CS1373" s="213" t="s">
        <v>881</v>
      </c>
      <c r="CT1373" s="213" t="s">
        <v>4097</v>
      </c>
      <c r="CU1373" s="213" t="s">
        <v>883</v>
      </c>
      <c r="CV1373" s="214" t="s">
        <v>884</v>
      </c>
      <c r="CX1373" s="212">
        <v>1</v>
      </c>
    </row>
    <row r="1374" spans="91:102" ht="21" customHeight="1">
      <c r="CM1374" s="210"/>
      <c r="CN1374" s="213" t="s">
        <v>4098</v>
      </c>
      <c r="CO1374" s="213" t="s">
        <v>896</v>
      </c>
      <c r="CP1374" s="213" t="s">
        <v>1543</v>
      </c>
      <c r="CQ1374" s="213" t="s">
        <v>4099</v>
      </c>
      <c r="CR1374" s="213" t="s">
        <v>4099</v>
      </c>
      <c r="CS1374" s="213" t="s">
        <v>881</v>
      </c>
      <c r="CT1374" s="213" t="s">
        <v>4097</v>
      </c>
      <c r="CU1374" s="213" t="s">
        <v>883</v>
      </c>
      <c r="CV1374" s="214" t="s">
        <v>884</v>
      </c>
      <c r="CX1374" s="212">
        <v>1</v>
      </c>
    </row>
    <row r="1375" spans="91:102" ht="21" customHeight="1">
      <c r="CM1375" s="210"/>
      <c r="CN1375" s="213" t="s">
        <v>4100</v>
      </c>
      <c r="CO1375" s="213" t="s">
        <v>896</v>
      </c>
      <c r="CP1375" s="213" t="s">
        <v>1543</v>
      </c>
      <c r="CQ1375" s="213" t="s">
        <v>4101</v>
      </c>
      <c r="CR1375" s="213" t="s">
        <v>4101</v>
      </c>
      <c r="CS1375" s="213" t="s">
        <v>881</v>
      </c>
      <c r="CT1375" s="213" t="s">
        <v>4097</v>
      </c>
      <c r="CU1375" s="213" t="s">
        <v>883</v>
      </c>
      <c r="CV1375" s="214" t="s">
        <v>884</v>
      </c>
      <c r="CX1375" s="212">
        <v>1</v>
      </c>
    </row>
    <row r="1376" spans="91:102" ht="21" customHeight="1">
      <c r="CM1376" s="210"/>
      <c r="CN1376" s="213" t="s">
        <v>4102</v>
      </c>
      <c r="CO1376" s="213" t="s">
        <v>896</v>
      </c>
      <c r="CP1376" s="213" t="s">
        <v>1543</v>
      </c>
      <c r="CQ1376" s="213" t="s">
        <v>4103</v>
      </c>
      <c r="CR1376" s="213" t="s">
        <v>4104</v>
      </c>
      <c r="CS1376" s="213" t="s">
        <v>881</v>
      </c>
      <c r="CT1376" s="213" t="s">
        <v>4097</v>
      </c>
      <c r="CU1376" s="213" t="s">
        <v>883</v>
      </c>
      <c r="CV1376" s="214" t="s">
        <v>884</v>
      </c>
      <c r="CX1376" s="212">
        <v>1</v>
      </c>
    </row>
    <row r="1377" spans="91:102" ht="21" customHeight="1">
      <c r="CM1377" s="210"/>
      <c r="CN1377" s="213" t="s">
        <v>4105</v>
      </c>
      <c r="CO1377" s="213" t="s">
        <v>896</v>
      </c>
      <c r="CP1377" s="213" t="s">
        <v>1543</v>
      </c>
      <c r="CQ1377" s="213" t="s">
        <v>4106</v>
      </c>
      <c r="CR1377" s="213" t="s">
        <v>4106</v>
      </c>
      <c r="CS1377" s="213" t="s">
        <v>881</v>
      </c>
      <c r="CT1377" s="213" t="s">
        <v>4097</v>
      </c>
      <c r="CU1377" s="213" t="s">
        <v>883</v>
      </c>
      <c r="CV1377" s="214" t="s">
        <v>884</v>
      </c>
      <c r="CX1377" s="212">
        <v>1</v>
      </c>
    </row>
    <row r="1378" spans="91:102" ht="21" customHeight="1">
      <c r="CM1378" s="210"/>
      <c r="CN1378" s="213" t="s">
        <v>4107</v>
      </c>
      <c r="CO1378" s="213" t="s">
        <v>896</v>
      </c>
      <c r="CP1378" s="213" t="s">
        <v>1543</v>
      </c>
      <c r="CQ1378" s="213" t="s">
        <v>4108</v>
      </c>
      <c r="CR1378" s="213" t="s">
        <v>4108</v>
      </c>
      <c r="CS1378" s="213" t="s">
        <v>881</v>
      </c>
      <c r="CT1378" s="213" t="s">
        <v>4097</v>
      </c>
      <c r="CU1378" s="213" t="s">
        <v>883</v>
      </c>
      <c r="CV1378" s="214" t="s">
        <v>884</v>
      </c>
      <c r="CX1378" s="212">
        <v>1</v>
      </c>
    </row>
    <row r="1379" spans="91:102" ht="21" customHeight="1">
      <c r="CM1379" s="210"/>
      <c r="CN1379" s="213" t="s">
        <v>4109</v>
      </c>
      <c r="CO1379" s="213" t="s">
        <v>896</v>
      </c>
      <c r="CP1379" s="213" t="s">
        <v>1543</v>
      </c>
      <c r="CQ1379" s="213" t="s">
        <v>4110</v>
      </c>
      <c r="CR1379" s="213" t="s">
        <v>4110</v>
      </c>
      <c r="CS1379" s="213" t="s">
        <v>881</v>
      </c>
      <c r="CT1379" s="213" t="s">
        <v>4097</v>
      </c>
      <c r="CU1379" s="213" t="s">
        <v>883</v>
      </c>
      <c r="CV1379" s="214" t="s">
        <v>884</v>
      </c>
      <c r="CX1379" s="212">
        <v>1</v>
      </c>
    </row>
    <row r="1380" spans="91:102" ht="21" customHeight="1">
      <c r="CM1380" s="210"/>
      <c r="CN1380" s="213" t="s">
        <v>4111</v>
      </c>
      <c r="CO1380" s="213" t="s">
        <v>896</v>
      </c>
      <c r="CP1380" s="213" t="s">
        <v>1543</v>
      </c>
      <c r="CQ1380" s="213" t="s">
        <v>1588</v>
      </c>
      <c r="CR1380" s="213" t="s">
        <v>1588</v>
      </c>
      <c r="CS1380" s="213" t="s">
        <v>881</v>
      </c>
      <c r="CT1380" s="213" t="s">
        <v>4097</v>
      </c>
      <c r="CU1380" s="213" t="s">
        <v>883</v>
      </c>
      <c r="CV1380" s="214" t="s">
        <v>884</v>
      </c>
      <c r="CX1380" s="212">
        <v>1</v>
      </c>
    </row>
    <row r="1381" spans="91:102" ht="21" customHeight="1">
      <c r="CM1381" s="210"/>
      <c r="CN1381" s="213" t="s">
        <v>4112</v>
      </c>
      <c r="CO1381" s="213" t="s">
        <v>896</v>
      </c>
      <c r="CP1381" s="213" t="s">
        <v>1543</v>
      </c>
      <c r="CQ1381" s="213" t="s">
        <v>4113</v>
      </c>
      <c r="CR1381" s="213" t="s">
        <v>4114</v>
      </c>
      <c r="CS1381" s="213" t="s">
        <v>881</v>
      </c>
      <c r="CT1381" s="213" t="s">
        <v>4097</v>
      </c>
      <c r="CU1381" s="213" t="s">
        <v>883</v>
      </c>
      <c r="CV1381" s="214" t="s">
        <v>884</v>
      </c>
      <c r="CX1381" s="212">
        <v>1</v>
      </c>
    </row>
    <row r="1382" spans="91:102" ht="21" customHeight="1">
      <c r="CM1382" s="210"/>
      <c r="CN1382" s="213" t="s">
        <v>4115</v>
      </c>
      <c r="CO1382" s="213" t="s">
        <v>896</v>
      </c>
      <c r="CP1382" s="213" t="s">
        <v>1543</v>
      </c>
      <c r="CQ1382" s="213" t="s">
        <v>1598</v>
      </c>
      <c r="CR1382" s="213" t="s">
        <v>1598</v>
      </c>
      <c r="CS1382" s="213" t="s">
        <v>881</v>
      </c>
      <c r="CT1382" s="213" t="s">
        <v>4097</v>
      </c>
      <c r="CU1382" s="213" t="s">
        <v>883</v>
      </c>
      <c r="CV1382" s="214" t="s">
        <v>884</v>
      </c>
      <c r="CX1382" s="212">
        <v>1</v>
      </c>
    </row>
    <row r="1383" spans="91:102" ht="21" customHeight="1">
      <c r="CM1383" s="210"/>
      <c r="CN1383" s="213" t="s">
        <v>4116</v>
      </c>
      <c r="CO1383" s="213" t="s">
        <v>896</v>
      </c>
      <c r="CP1383" s="213" t="s">
        <v>1543</v>
      </c>
      <c r="CQ1383" s="213" t="s">
        <v>4117</v>
      </c>
      <c r="CR1383" s="213" t="s">
        <v>4117</v>
      </c>
      <c r="CS1383" s="213" t="s">
        <v>881</v>
      </c>
      <c r="CT1383" s="213" t="s">
        <v>4097</v>
      </c>
      <c r="CU1383" s="213" t="s">
        <v>883</v>
      </c>
      <c r="CV1383" s="214" t="s">
        <v>884</v>
      </c>
      <c r="CX1383" s="212">
        <v>1</v>
      </c>
    </row>
    <row r="1384" spans="91:102" ht="21" customHeight="1">
      <c r="CM1384" s="210"/>
      <c r="CN1384" s="213" t="s">
        <v>4118</v>
      </c>
      <c r="CO1384" s="213" t="s">
        <v>853</v>
      </c>
      <c r="CP1384" s="213" t="s">
        <v>879</v>
      </c>
      <c r="CQ1384" s="213" t="s">
        <v>4119</v>
      </c>
      <c r="CR1384" s="213" t="s">
        <v>4119</v>
      </c>
      <c r="CS1384" s="213" t="s">
        <v>881</v>
      </c>
      <c r="CT1384" s="213" t="s">
        <v>4120</v>
      </c>
      <c r="CU1384" s="213" t="s">
        <v>883</v>
      </c>
      <c r="CV1384" s="214" t="s">
        <v>884</v>
      </c>
      <c r="CX1384" s="212">
        <v>1</v>
      </c>
    </row>
    <row r="1385" spans="91:102" ht="21" customHeight="1">
      <c r="CM1385" s="210"/>
      <c r="CN1385" s="213" t="s">
        <v>4121</v>
      </c>
      <c r="CO1385" s="213" t="s">
        <v>853</v>
      </c>
      <c r="CP1385" s="213" t="s">
        <v>879</v>
      </c>
      <c r="CQ1385" s="213" t="s">
        <v>4122</v>
      </c>
      <c r="CR1385" s="213" t="s">
        <v>4122</v>
      </c>
      <c r="CS1385" s="213" t="s">
        <v>881</v>
      </c>
      <c r="CT1385" s="213" t="s">
        <v>4120</v>
      </c>
      <c r="CU1385" s="213" t="s">
        <v>883</v>
      </c>
      <c r="CV1385" s="214" t="s">
        <v>884</v>
      </c>
      <c r="CX1385" s="212">
        <v>1</v>
      </c>
    </row>
    <row r="1386" spans="91:102" ht="21" customHeight="1">
      <c r="CM1386" s="210"/>
      <c r="CN1386" s="213" t="s">
        <v>4123</v>
      </c>
      <c r="CO1386" s="213" t="s">
        <v>853</v>
      </c>
      <c r="CP1386" s="213" t="s">
        <v>879</v>
      </c>
      <c r="CQ1386" s="213" t="s">
        <v>4124</v>
      </c>
      <c r="CR1386" s="213" t="s">
        <v>4124</v>
      </c>
      <c r="CS1386" s="213" t="s">
        <v>881</v>
      </c>
      <c r="CT1386" s="213" t="s">
        <v>4120</v>
      </c>
      <c r="CU1386" s="213" t="s">
        <v>883</v>
      </c>
      <c r="CV1386" s="214" t="s">
        <v>884</v>
      </c>
      <c r="CX1386" s="212">
        <v>1</v>
      </c>
    </row>
    <row r="1387" spans="91:102" ht="21" customHeight="1">
      <c r="CM1387" s="210"/>
      <c r="CN1387" s="213" t="s">
        <v>4125</v>
      </c>
      <c r="CO1387" s="213" t="s">
        <v>853</v>
      </c>
      <c r="CP1387" s="213" t="s">
        <v>879</v>
      </c>
      <c r="CQ1387" s="213" t="s">
        <v>4126</v>
      </c>
      <c r="CR1387" s="213" t="s">
        <v>4127</v>
      </c>
      <c r="CS1387" s="213" t="s">
        <v>881</v>
      </c>
      <c r="CT1387" s="213" t="s">
        <v>4120</v>
      </c>
      <c r="CU1387" s="213" t="s">
        <v>883</v>
      </c>
      <c r="CV1387" s="214" t="s">
        <v>884</v>
      </c>
      <c r="CX1387" s="212">
        <v>1</v>
      </c>
    </row>
    <row r="1388" spans="91:102" ht="21" customHeight="1">
      <c r="CM1388" s="210"/>
      <c r="CN1388" s="213" t="s">
        <v>4128</v>
      </c>
      <c r="CO1388" s="213" t="s">
        <v>853</v>
      </c>
      <c r="CP1388" s="213" t="s">
        <v>879</v>
      </c>
      <c r="CQ1388" s="213" t="s">
        <v>4129</v>
      </c>
      <c r="CR1388" s="213" t="s">
        <v>4130</v>
      </c>
      <c r="CS1388" s="213" t="s">
        <v>881</v>
      </c>
      <c r="CT1388" s="213" t="s">
        <v>4120</v>
      </c>
      <c r="CU1388" s="213" t="s">
        <v>883</v>
      </c>
      <c r="CV1388" s="214" t="s">
        <v>884</v>
      </c>
      <c r="CX1388" s="212">
        <v>1</v>
      </c>
    </row>
    <row r="1389" spans="91:102" ht="21" customHeight="1">
      <c r="CM1389" s="210"/>
      <c r="CN1389" s="213" t="s">
        <v>4131</v>
      </c>
      <c r="CO1389" s="213" t="s">
        <v>853</v>
      </c>
      <c r="CP1389" s="213" t="s">
        <v>879</v>
      </c>
      <c r="CQ1389" s="213" t="s">
        <v>4132</v>
      </c>
      <c r="CR1389" s="213" t="s">
        <v>4133</v>
      </c>
      <c r="CS1389" s="213" t="s">
        <v>881</v>
      </c>
      <c r="CT1389" s="213" t="s">
        <v>4120</v>
      </c>
      <c r="CU1389" s="213" t="s">
        <v>883</v>
      </c>
      <c r="CV1389" s="214" t="s">
        <v>884</v>
      </c>
      <c r="CX1389" s="212">
        <v>1</v>
      </c>
    </row>
    <row r="1390" spans="91:102" ht="21" customHeight="1">
      <c r="CM1390" s="210"/>
      <c r="CN1390" s="213" t="s">
        <v>4134</v>
      </c>
      <c r="CO1390" s="213" t="s">
        <v>853</v>
      </c>
      <c r="CP1390" s="213" t="s">
        <v>879</v>
      </c>
      <c r="CQ1390" s="213" t="s">
        <v>4135</v>
      </c>
      <c r="CR1390" s="213" t="s">
        <v>4135</v>
      </c>
      <c r="CS1390" s="213" t="s">
        <v>881</v>
      </c>
      <c r="CT1390" s="213" t="s">
        <v>4120</v>
      </c>
      <c r="CU1390" s="213" t="s">
        <v>883</v>
      </c>
      <c r="CV1390" s="214" t="s">
        <v>884</v>
      </c>
      <c r="CX1390" s="212">
        <v>1</v>
      </c>
    </row>
    <row r="1391" spans="91:102" ht="21" customHeight="1">
      <c r="CM1391" s="210"/>
      <c r="CN1391" s="213" t="s">
        <v>4136</v>
      </c>
      <c r="CO1391" s="213" t="s">
        <v>853</v>
      </c>
      <c r="CP1391" s="213" t="s">
        <v>879</v>
      </c>
      <c r="CQ1391" s="213" t="s">
        <v>4137</v>
      </c>
      <c r="CR1391" s="213" t="s">
        <v>4137</v>
      </c>
      <c r="CS1391" s="213" t="s">
        <v>971</v>
      </c>
      <c r="CT1391" s="213" t="s">
        <v>972</v>
      </c>
      <c r="CU1391" s="213" t="s">
        <v>883</v>
      </c>
      <c r="CV1391" s="214" t="s">
        <v>973</v>
      </c>
      <c r="CX1391" s="212">
        <v>1</v>
      </c>
    </row>
    <row r="1392" spans="91:102" ht="21" customHeight="1">
      <c r="CM1392" s="210"/>
      <c r="CN1392" s="213" t="s">
        <v>4138</v>
      </c>
      <c r="CO1392" s="213" t="s">
        <v>853</v>
      </c>
      <c r="CP1392" s="213" t="s">
        <v>879</v>
      </c>
      <c r="CQ1392" s="213" t="s">
        <v>4139</v>
      </c>
      <c r="CR1392" s="213" t="s">
        <v>4139</v>
      </c>
      <c r="CS1392" s="213" t="s">
        <v>971</v>
      </c>
      <c r="CT1392" s="213" t="s">
        <v>972</v>
      </c>
      <c r="CU1392" s="213" t="s">
        <v>883</v>
      </c>
      <c r="CV1392" s="214" t="s">
        <v>973</v>
      </c>
      <c r="CX1392" s="212">
        <v>1</v>
      </c>
    </row>
    <row r="1393" spans="91:102" ht="21" customHeight="1">
      <c r="CM1393" s="210"/>
      <c r="CN1393" s="213" t="s">
        <v>4140</v>
      </c>
      <c r="CO1393" s="213" t="s">
        <v>853</v>
      </c>
      <c r="CP1393" s="213" t="s">
        <v>879</v>
      </c>
      <c r="CQ1393" s="213" t="s">
        <v>4141</v>
      </c>
      <c r="CR1393" s="213" t="s">
        <v>4141</v>
      </c>
      <c r="CS1393" s="213" t="s">
        <v>971</v>
      </c>
      <c r="CT1393" s="213" t="s">
        <v>972</v>
      </c>
      <c r="CU1393" s="213" t="s">
        <v>883</v>
      </c>
      <c r="CV1393" s="214" t="s">
        <v>973</v>
      </c>
      <c r="CX1393" s="212">
        <v>1</v>
      </c>
    </row>
    <row r="1394" spans="91:102" ht="21" customHeight="1">
      <c r="CM1394" s="210"/>
      <c r="CN1394" s="213" t="s">
        <v>4142</v>
      </c>
      <c r="CO1394" s="213" t="s">
        <v>853</v>
      </c>
      <c r="CP1394" s="213" t="s">
        <v>879</v>
      </c>
      <c r="CQ1394" s="213" t="s">
        <v>4143</v>
      </c>
      <c r="CR1394" s="213" t="s">
        <v>4143</v>
      </c>
      <c r="CS1394" s="213" t="s">
        <v>881</v>
      </c>
      <c r="CT1394" s="213" t="s">
        <v>4120</v>
      </c>
      <c r="CU1394" s="213" t="s">
        <v>883</v>
      </c>
      <c r="CV1394" s="214" t="s">
        <v>884</v>
      </c>
      <c r="CX1394" s="212">
        <v>1</v>
      </c>
    </row>
    <row r="1395" spans="91:102" ht="21" customHeight="1">
      <c r="CM1395" s="210"/>
      <c r="CN1395" s="213" t="s">
        <v>4144</v>
      </c>
      <c r="CO1395" s="213" t="s">
        <v>853</v>
      </c>
      <c r="CP1395" s="213" t="s">
        <v>879</v>
      </c>
      <c r="CQ1395" s="213" t="s">
        <v>4145</v>
      </c>
      <c r="CR1395" s="213" t="s">
        <v>4146</v>
      </c>
      <c r="CS1395" s="213" t="s">
        <v>881</v>
      </c>
      <c r="CT1395" s="213" t="s">
        <v>4120</v>
      </c>
      <c r="CU1395" s="213" t="s">
        <v>883</v>
      </c>
      <c r="CV1395" s="214" t="s">
        <v>884</v>
      </c>
      <c r="CX1395" s="212">
        <v>1</v>
      </c>
    </row>
    <row r="1396" spans="91:102" ht="21" customHeight="1">
      <c r="CM1396" s="210"/>
      <c r="CN1396" s="213" t="s">
        <v>4147</v>
      </c>
      <c r="CO1396" s="213" t="s">
        <v>853</v>
      </c>
      <c r="CP1396" s="213" t="s">
        <v>879</v>
      </c>
      <c r="CQ1396" s="213" t="s">
        <v>4148</v>
      </c>
      <c r="CR1396" s="213" t="s">
        <v>4148</v>
      </c>
      <c r="CS1396" s="213" t="s">
        <v>881</v>
      </c>
      <c r="CT1396" s="213" t="s">
        <v>4120</v>
      </c>
      <c r="CU1396" s="213" t="s">
        <v>883</v>
      </c>
      <c r="CV1396" s="214" t="s">
        <v>884</v>
      </c>
      <c r="CX1396" s="212">
        <v>1</v>
      </c>
    </row>
    <row r="1397" spans="91:102" ht="21" customHeight="1">
      <c r="CM1397" s="210"/>
      <c r="CN1397" s="213" t="s">
        <v>4149</v>
      </c>
      <c r="CO1397" s="213" t="s">
        <v>853</v>
      </c>
      <c r="CP1397" s="213" t="s">
        <v>879</v>
      </c>
      <c r="CQ1397" s="213" t="s">
        <v>4150</v>
      </c>
      <c r="CR1397" s="213" t="s">
        <v>4150</v>
      </c>
      <c r="CS1397" s="213" t="s">
        <v>971</v>
      </c>
      <c r="CT1397" s="213" t="s">
        <v>972</v>
      </c>
      <c r="CU1397" s="213" t="s">
        <v>883</v>
      </c>
      <c r="CV1397" s="214" t="s">
        <v>973</v>
      </c>
      <c r="CX1397" s="212">
        <v>1</v>
      </c>
    </row>
    <row r="1398" spans="91:102" ht="21" customHeight="1">
      <c r="CM1398" s="210"/>
      <c r="CN1398" s="213" t="s">
        <v>4151</v>
      </c>
      <c r="CO1398" s="213" t="s">
        <v>853</v>
      </c>
      <c r="CP1398" s="213" t="s">
        <v>879</v>
      </c>
      <c r="CQ1398" s="213" t="s">
        <v>4152</v>
      </c>
      <c r="CR1398" s="213" t="s">
        <v>4152</v>
      </c>
      <c r="CS1398" s="213" t="s">
        <v>881</v>
      </c>
      <c r="CT1398" s="213" t="s">
        <v>4120</v>
      </c>
      <c r="CU1398" s="213" t="s">
        <v>883</v>
      </c>
      <c r="CV1398" s="214" t="s">
        <v>884</v>
      </c>
      <c r="CX1398" s="212">
        <v>1</v>
      </c>
    </row>
    <row r="1399" spans="91:102" ht="21" customHeight="1">
      <c r="CM1399" s="210"/>
      <c r="CN1399" s="213" t="s">
        <v>4153</v>
      </c>
      <c r="CO1399" s="213" t="s">
        <v>853</v>
      </c>
      <c r="CP1399" s="213" t="s">
        <v>879</v>
      </c>
      <c r="CQ1399" s="213" t="s">
        <v>4154</v>
      </c>
      <c r="CR1399" s="213" t="s">
        <v>4155</v>
      </c>
      <c r="CS1399" s="213" t="s">
        <v>881</v>
      </c>
      <c r="CT1399" s="213" t="s">
        <v>4120</v>
      </c>
      <c r="CU1399" s="213" t="s">
        <v>883</v>
      </c>
      <c r="CV1399" s="214" t="s">
        <v>884</v>
      </c>
      <c r="CX1399" s="212">
        <v>1</v>
      </c>
    </row>
    <row r="1400" spans="91:102" ht="21" customHeight="1">
      <c r="CM1400" s="210"/>
      <c r="CN1400" s="213" t="s">
        <v>4156</v>
      </c>
      <c r="CO1400" s="213" t="s">
        <v>853</v>
      </c>
      <c r="CP1400" s="213" t="s">
        <v>879</v>
      </c>
      <c r="CQ1400" s="213" t="s">
        <v>4157</v>
      </c>
      <c r="CR1400" s="213" t="s">
        <v>4158</v>
      </c>
      <c r="CS1400" s="213" t="s">
        <v>881</v>
      </c>
      <c r="CT1400" s="213" t="s">
        <v>4120</v>
      </c>
      <c r="CU1400" s="213" t="s">
        <v>883</v>
      </c>
      <c r="CV1400" s="214" t="s">
        <v>884</v>
      </c>
      <c r="CX1400" s="212">
        <v>1</v>
      </c>
    </row>
    <row r="1401" spans="91:102" ht="21" customHeight="1">
      <c r="CM1401" s="210"/>
      <c r="CN1401" s="213" t="s">
        <v>4159</v>
      </c>
      <c r="CO1401" s="213" t="s">
        <v>853</v>
      </c>
      <c r="CP1401" s="213" t="s">
        <v>879</v>
      </c>
      <c r="CQ1401" s="213" t="s">
        <v>4160</v>
      </c>
      <c r="CR1401" s="213" t="s">
        <v>4160</v>
      </c>
      <c r="CS1401" s="213" t="s">
        <v>881</v>
      </c>
      <c r="CT1401" s="213" t="s">
        <v>4120</v>
      </c>
      <c r="CU1401" s="213" t="s">
        <v>883</v>
      </c>
      <c r="CV1401" s="214" t="s">
        <v>884</v>
      </c>
      <c r="CX1401" s="212">
        <v>1</v>
      </c>
    </row>
    <row r="1402" spans="91:102" ht="21" customHeight="1">
      <c r="CM1402" s="210"/>
      <c r="CN1402" s="213" t="s">
        <v>4161</v>
      </c>
      <c r="CO1402" s="213" t="s">
        <v>853</v>
      </c>
      <c r="CP1402" s="213" t="s">
        <v>879</v>
      </c>
      <c r="CQ1402" s="213" t="s">
        <v>4162</v>
      </c>
      <c r="CR1402" s="213" t="s">
        <v>4163</v>
      </c>
      <c r="CS1402" s="213" t="s">
        <v>881</v>
      </c>
      <c r="CT1402" s="213" t="s">
        <v>4120</v>
      </c>
      <c r="CU1402" s="213" t="s">
        <v>883</v>
      </c>
      <c r="CV1402" s="214" t="s">
        <v>884</v>
      </c>
      <c r="CX1402" s="212">
        <v>1</v>
      </c>
    </row>
    <row r="1403" spans="91:102" ht="21" customHeight="1">
      <c r="CM1403" s="210"/>
      <c r="CN1403" s="213" t="s">
        <v>4164</v>
      </c>
      <c r="CO1403" s="213" t="s">
        <v>853</v>
      </c>
      <c r="CP1403" s="213" t="s">
        <v>879</v>
      </c>
      <c r="CQ1403" s="213" t="s">
        <v>4165</v>
      </c>
      <c r="CR1403" s="213" t="s">
        <v>4166</v>
      </c>
      <c r="CS1403" s="213" t="s">
        <v>881</v>
      </c>
      <c r="CT1403" s="213" t="s">
        <v>4120</v>
      </c>
      <c r="CU1403" s="213" t="s">
        <v>883</v>
      </c>
      <c r="CV1403" s="214" t="s">
        <v>884</v>
      </c>
      <c r="CX1403" s="212">
        <v>1</v>
      </c>
    </row>
    <row r="1404" spans="91:102" ht="21" customHeight="1">
      <c r="CM1404" s="210"/>
      <c r="CN1404" s="213" t="s">
        <v>4167</v>
      </c>
      <c r="CO1404" s="213" t="s">
        <v>853</v>
      </c>
      <c r="CP1404" s="213" t="s">
        <v>879</v>
      </c>
      <c r="CQ1404" s="213" t="s">
        <v>4168</v>
      </c>
      <c r="CR1404" s="213" t="s">
        <v>4168</v>
      </c>
      <c r="CS1404" s="213" t="s">
        <v>881</v>
      </c>
      <c r="CT1404" s="213" t="s">
        <v>4120</v>
      </c>
      <c r="CU1404" s="213" t="s">
        <v>883</v>
      </c>
      <c r="CV1404" s="214" t="s">
        <v>884</v>
      </c>
      <c r="CX1404" s="212">
        <v>1</v>
      </c>
    </row>
    <row r="1405" spans="91:102" ht="21" customHeight="1">
      <c r="CM1405" s="210"/>
      <c r="CN1405" s="213" t="s">
        <v>4169</v>
      </c>
      <c r="CO1405" s="213" t="s">
        <v>871</v>
      </c>
      <c r="CP1405" s="213" t="s">
        <v>879</v>
      </c>
      <c r="CQ1405" s="213" t="s">
        <v>4170</v>
      </c>
      <c r="CR1405" s="213" t="s">
        <v>4170</v>
      </c>
      <c r="CS1405" s="213" t="s">
        <v>881</v>
      </c>
      <c r="CT1405" s="213" t="s">
        <v>4171</v>
      </c>
      <c r="CU1405" s="213" t="s">
        <v>883</v>
      </c>
      <c r="CV1405" s="214" t="s">
        <v>884</v>
      </c>
      <c r="CX1405" s="212">
        <v>1</v>
      </c>
    </row>
    <row r="1406" spans="91:102" ht="21" customHeight="1">
      <c r="CM1406" s="210"/>
      <c r="CN1406" s="213" t="s">
        <v>4172</v>
      </c>
      <c r="CO1406" s="213" t="s">
        <v>871</v>
      </c>
      <c r="CP1406" s="213" t="s">
        <v>879</v>
      </c>
      <c r="CQ1406" s="213" t="s">
        <v>4173</v>
      </c>
      <c r="CR1406" s="213" t="s">
        <v>4174</v>
      </c>
      <c r="CS1406" s="213" t="s">
        <v>881</v>
      </c>
      <c r="CT1406" s="213" t="s">
        <v>4171</v>
      </c>
      <c r="CU1406" s="213" t="s">
        <v>883</v>
      </c>
      <c r="CV1406" s="214" t="s">
        <v>884</v>
      </c>
      <c r="CX1406" s="212">
        <v>1</v>
      </c>
    </row>
    <row r="1407" spans="91:102" ht="21" customHeight="1">
      <c r="CM1407" s="210"/>
      <c r="CN1407" s="213" t="s">
        <v>4175</v>
      </c>
      <c r="CO1407" s="213" t="s">
        <v>871</v>
      </c>
      <c r="CP1407" s="213" t="s">
        <v>879</v>
      </c>
      <c r="CQ1407" s="213" t="s">
        <v>4176</v>
      </c>
      <c r="CR1407" s="213" t="s">
        <v>4177</v>
      </c>
      <c r="CS1407" s="213" t="s">
        <v>881</v>
      </c>
      <c r="CT1407" s="213" t="s">
        <v>4171</v>
      </c>
      <c r="CU1407" s="213" t="s">
        <v>883</v>
      </c>
      <c r="CV1407" s="214" t="s">
        <v>884</v>
      </c>
      <c r="CX1407" s="212">
        <v>1</v>
      </c>
    </row>
    <row r="1408" spans="91:102" ht="21" customHeight="1">
      <c r="CM1408" s="210"/>
      <c r="CN1408" s="213" t="s">
        <v>4178</v>
      </c>
      <c r="CO1408" s="213" t="s">
        <v>871</v>
      </c>
      <c r="CP1408" s="213" t="s">
        <v>879</v>
      </c>
      <c r="CQ1408" s="213" t="s">
        <v>4179</v>
      </c>
      <c r="CR1408" s="213" t="s">
        <v>4179</v>
      </c>
      <c r="CS1408" s="213" t="s">
        <v>881</v>
      </c>
      <c r="CT1408" s="213" t="s">
        <v>4171</v>
      </c>
      <c r="CU1408" s="213" t="s">
        <v>883</v>
      </c>
      <c r="CV1408" s="214" t="s">
        <v>884</v>
      </c>
      <c r="CX1408" s="212">
        <v>1</v>
      </c>
    </row>
    <row r="1409" spans="91:102" ht="21" customHeight="1">
      <c r="CM1409" s="210"/>
      <c r="CN1409" s="213" t="s">
        <v>4180</v>
      </c>
      <c r="CO1409" s="213" t="s">
        <v>871</v>
      </c>
      <c r="CP1409" s="213" t="s">
        <v>879</v>
      </c>
      <c r="CQ1409" s="213" t="s">
        <v>4181</v>
      </c>
      <c r="CR1409" s="213" t="s">
        <v>4182</v>
      </c>
      <c r="CS1409" s="213" t="s">
        <v>881</v>
      </c>
      <c r="CT1409" s="213" t="s">
        <v>4171</v>
      </c>
      <c r="CU1409" s="213" t="s">
        <v>883</v>
      </c>
      <c r="CV1409" s="214" t="s">
        <v>884</v>
      </c>
      <c r="CX1409" s="212">
        <v>1</v>
      </c>
    </row>
    <row r="1410" spans="91:102" ht="21" customHeight="1">
      <c r="CM1410" s="210"/>
      <c r="CN1410" s="213" t="s">
        <v>4183</v>
      </c>
      <c r="CO1410" s="213" t="s">
        <v>871</v>
      </c>
      <c r="CP1410" s="213" t="s">
        <v>879</v>
      </c>
      <c r="CQ1410" s="213" t="s">
        <v>4184</v>
      </c>
      <c r="CR1410" s="213" t="s">
        <v>4184</v>
      </c>
      <c r="CS1410" s="213" t="s">
        <v>881</v>
      </c>
      <c r="CT1410" s="213" t="s">
        <v>4171</v>
      </c>
      <c r="CU1410" s="213" t="s">
        <v>883</v>
      </c>
      <c r="CV1410" s="214" t="s">
        <v>884</v>
      </c>
      <c r="CX1410" s="212">
        <v>1</v>
      </c>
    </row>
    <row r="1411" spans="91:102" ht="21" customHeight="1">
      <c r="CM1411" s="210"/>
      <c r="CN1411" s="213" t="s">
        <v>4185</v>
      </c>
      <c r="CO1411" s="213" t="s">
        <v>871</v>
      </c>
      <c r="CP1411" s="213" t="s">
        <v>879</v>
      </c>
      <c r="CQ1411" s="213" t="s">
        <v>4186</v>
      </c>
      <c r="CR1411" s="213" t="s">
        <v>4186</v>
      </c>
      <c r="CS1411" s="213" t="s">
        <v>881</v>
      </c>
      <c r="CT1411" s="213" t="s">
        <v>4171</v>
      </c>
      <c r="CU1411" s="213" t="s">
        <v>883</v>
      </c>
      <c r="CV1411" s="214" t="s">
        <v>884</v>
      </c>
      <c r="CX1411" s="212">
        <v>1</v>
      </c>
    </row>
    <row r="1412" spans="91:102" ht="21" customHeight="1">
      <c r="CM1412" s="210"/>
      <c r="CN1412" s="213" t="s">
        <v>4187</v>
      </c>
      <c r="CO1412" s="213" t="s">
        <v>871</v>
      </c>
      <c r="CP1412" s="213" t="s">
        <v>879</v>
      </c>
      <c r="CQ1412" s="213" t="s">
        <v>4188</v>
      </c>
      <c r="CR1412" s="213" t="s">
        <v>4189</v>
      </c>
      <c r="CS1412" s="213" t="s">
        <v>881</v>
      </c>
      <c r="CT1412" s="213" t="s">
        <v>4171</v>
      </c>
      <c r="CU1412" s="213" t="s">
        <v>883</v>
      </c>
      <c r="CV1412" s="214" t="s">
        <v>884</v>
      </c>
      <c r="CX1412" s="212">
        <v>1</v>
      </c>
    </row>
    <row r="1413" spans="91:102" ht="21" customHeight="1">
      <c r="CM1413" s="210"/>
      <c r="CN1413" s="213" t="s">
        <v>4190</v>
      </c>
      <c r="CO1413" s="213" t="s">
        <v>871</v>
      </c>
      <c r="CP1413" s="213" t="s">
        <v>879</v>
      </c>
      <c r="CQ1413" s="213" t="s">
        <v>4191</v>
      </c>
      <c r="CR1413" s="213" t="s">
        <v>4192</v>
      </c>
      <c r="CS1413" s="213" t="s">
        <v>881</v>
      </c>
      <c r="CT1413" s="213" t="s">
        <v>4171</v>
      </c>
      <c r="CU1413" s="213" t="s">
        <v>883</v>
      </c>
      <c r="CV1413" s="214" t="s">
        <v>884</v>
      </c>
      <c r="CX1413" s="212">
        <v>1</v>
      </c>
    </row>
    <row r="1414" spans="91:102" ht="21" customHeight="1">
      <c r="CM1414" s="210"/>
      <c r="CN1414" s="213" t="s">
        <v>4193</v>
      </c>
      <c r="CO1414" s="213" t="s">
        <v>871</v>
      </c>
      <c r="CP1414" s="213" t="s">
        <v>879</v>
      </c>
      <c r="CQ1414" s="213" t="s">
        <v>4194</v>
      </c>
      <c r="CR1414" s="213" t="s">
        <v>4194</v>
      </c>
      <c r="CS1414" s="213" t="s">
        <v>881</v>
      </c>
      <c r="CT1414" s="213" t="s">
        <v>4171</v>
      </c>
      <c r="CU1414" s="213" t="s">
        <v>883</v>
      </c>
      <c r="CV1414" s="214" t="s">
        <v>884</v>
      </c>
      <c r="CX1414" s="212">
        <v>1</v>
      </c>
    </row>
    <row r="1415" spans="91:102" ht="21" customHeight="1">
      <c r="CM1415" s="210"/>
      <c r="CN1415" s="213" t="s">
        <v>4195</v>
      </c>
      <c r="CO1415" s="213" t="s">
        <v>871</v>
      </c>
      <c r="CP1415" s="213" t="s">
        <v>879</v>
      </c>
      <c r="CQ1415" s="213" t="s">
        <v>4196</v>
      </c>
      <c r="CR1415" s="213" t="s">
        <v>4196</v>
      </c>
      <c r="CS1415" s="213" t="s">
        <v>881</v>
      </c>
      <c r="CT1415" s="213" t="s">
        <v>4171</v>
      </c>
      <c r="CU1415" s="213" t="s">
        <v>883</v>
      </c>
      <c r="CV1415" s="214" t="s">
        <v>884</v>
      </c>
      <c r="CX1415" s="212">
        <v>1</v>
      </c>
    </row>
    <row r="1416" spans="91:102" ht="21" customHeight="1">
      <c r="CM1416" s="210"/>
      <c r="CN1416" s="213" t="s">
        <v>4197</v>
      </c>
      <c r="CO1416" s="213" t="s">
        <v>871</v>
      </c>
      <c r="CP1416" s="213" t="s">
        <v>879</v>
      </c>
      <c r="CQ1416" s="213" t="s">
        <v>4198</v>
      </c>
      <c r="CR1416" s="213" t="s">
        <v>4198</v>
      </c>
      <c r="CS1416" s="213" t="s">
        <v>881</v>
      </c>
      <c r="CT1416" s="213" t="s">
        <v>4171</v>
      </c>
      <c r="CU1416" s="213" t="s">
        <v>883</v>
      </c>
      <c r="CV1416" s="214" t="s">
        <v>884</v>
      </c>
      <c r="CX1416" s="212">
        <v>1</v>
      </c>
    </row>
    <row r="1417" spans="91:102" ht="21" customHeight="1">
      <c r="CM1417" s="210"/>
      <c r="CN1417" s="213" t="s">
        <v>4199</v>
      </c>
      <c r="CO1417" s="213" t="s">
        <v>871</v>
      </c>
      <c r="CP1417" s="213" t="s">
        <v>879</v>
      </c>
      <c r="CQ1417" s="213" t="s">
        <v>4200</v>
      </c>
      <c r="CR1417" s="213" t="s">
        <v>4200</v>
      </c>
      <c r="CS1417" s="213" t="s">
        <v>881</v>
      </c>
      <c r="CT1417" s="213" t="s">
        <v>4171</v>
      </c>
      <c r="CU1417" s="213" t="s">
        <v>883</v>
      </c>
      <c r="CV1417" s="214" t="s">
        <v>884</v>
      </c>
      <c r="CX1417" s="212">
        <v>1</v>
      </c>
    </row>
    <row r="1418" spans="91:102" ht="21" customHeight="1">
      <c r="CM1418" s="210"/>
      <c r="CN1418" s="213" t="s">
        <v>4201</v>
      </c>
      <c r="CO1418" s="213" t="s">
        <v>871</v>
      </c>
      <c r="CP1418" s="213" t="s">
        <v>879</v>
      </c>
      <c r="CQ1418" s="213" t="s">
        <v>4202</v>
      </c>
      <c r="CR1418" s="213" t="s">
        <v>4203</v>
      </c>
      <c r="CS1418" s="213" t="s">
        <v>881</v>
      </c>
      <c r="CT1418" s="213" t="s">
        <v>4171</v>
      </c>
      <c r="CU1418" s="213" t="s">
        <v>883</v>
      </c>
      <c r="CV1418" s="214" t="s">
        <v>884</v>
      </c>
      <c r="CX1418" s="212">
        <v>1</v>
      </c>
    </row>
    <row r="1419" spans="91:102" ht="21" customHeight="1">
      <c r="CM1419" s="210"/>
      <c r="CN1419" s="213" t="s">
        <v>4204</v>
      </c>
      <c r="CO1419" s="213" t="s">
        <v>871</v>
      </c>
      <c r="CP1419" s="213" t="s">
        <v>879</v>
      </c>
      <c r="CQ1419" s="213" t="s">
        <v>4205</v>
      </c>
      <c r="CR1419" s="213" t="s">
        <v>4205</v>
      </c>
      <c r="CS1419" s="213" t="s">
        <v>881</v>
      </c>
      <c r="CT1419" s="213" t="s">
        <v>4171</v>
      </c>
      <c r="CU1419" s="213" t="s">
        <v>883</v>
      </c>
      <c r="CV1419" s="214" t="s">
        <v>884</v>
      </c>
      <c r="CX1419" s="212">
        <v>1</v>
      </c>
    </row>
    <row r="1420" spans="91:102" ht="21" customHeight="1">
      <c r="CM1420" s="210"/>
      <c r="CN1420" s="213" t="s">
        <v>4206</v>
      </c>
      <c r="CO1420" s="213" t="s">
        <v>871</v>
      </c>
      <c r="CP1420" s="213" t="s">
        <v>879</v>
      </c>
      <c r="CQ1420" s="213" t="s">
        <v>4207</v>
      </c>
      <c r="CR1420" s="213" t="s">
        <v>4207</v>
      </c>
      <c r="CS1420" s="213" t="s">
        <v>881</v>
      </c>
      <c r="CT1420" s="213" t="s">
        <v>4171</v>
      </c>
      <c r="CU1420" s="213" t="s">
        <v>883</v>
      </c>
      <c r="CV1420" s="214" t="s">
        <v>884</v>
      </c>
      <c r="CX1420" s="212">
        <v>1</v>
      </c>
    </row>
    <row r="1421" spans="91:102" ht="21" customHeight="1">
      <c r="CM1421" s="210"/>
      <c r="CN1421" s="213" t="s">
        <v>4208</v>
      </c>
      <c r="CO1421" s="213" t="s">
        <v>871</v>
      </c>
      <c r="CP1421" s="213" t="s">
        <v>879</v>
      </c>
      <c r="CQ1421" s="213" t="s">
        <v>4209</v>
      </c>
      <c r="CR1421" s="213" t="s">
        <v>4209</v>
      </c>
      <c r="CS1421" s="213" t="s">
        <v>881</v>
      </c>
      <c r="CT1421" s="213" t="s">
        <v>4171</v>
      </c>
      <c r="CU1421" s="213" t="s">
        <v>883</v>
      </c>
      <c r="CV1421" s="214" t="s">
        <v>884</v>
      </c>
      <c r="CX1421" s="212">
        <v>1</v>
      </c>
    </row>
    <row r="1422" spans="91:102" ht="21" customHeight="1">
      <c r="CM1422" s="210"/>
      <c r="CN1422" s="213" t="s">
        <v>4210</v>
      </c>
      <c r="CO1422" s="213" t="s">
        <v>871</v>
      </c>
      <c r="CP1422" s="213" t="s">
        <v>879</v>
      </c>
      <c r="CQ1422" s="213" t="s">
        <v>4211</v>
      </c>
      <c r="CR1422" s="213" t="s">
        <v>4212</v>
      </c>
      <c r="CS1422" s="213" t="s">
        <v>881</v>
      </c>
      <c r="CT1422" s="213" t="s">
        <v>4171</v>
      </c>
      <c r="CU1422" s="213" t="s">
        <v>883</v>
      </c>
      <c r="CV1422" s="214" t="s">
        <v>884</v>
      </c>
      <c r="CX1422" s="212">
        <v>1</v>
      </c>
    </row>
    <row r="1423" spans="91:102" ht="21" customHeight="1">
      <c r="CM1423" s="210"/>
      <c r="CN1423" s="213" t="s">
        <v>4213</v>
      </c>
      <c r="CO1423" s="213" t="s">
        <v>871</v>
      </c>
      <c r="CP1423" s="213" t="s">
        <v>879</v>
      </c>
      <c r="CQ1423" s="213" t="s">
        <v>4214</v>
      </c>
      <c r="CR1423" s="213" t="s">
        <v>4215</v>
      </c>
      <c r="CS1423" s="213" t="s">
        <v>881</v>
      </c>
      <c r="CT1423" s="213" t="s">
        <v>4171</v>
      </c>
      <c r="CU1423" s="213" t="s">
        <v>883</v>
      </c>
      <c r="CV1423" s="214" t="s">
        <v>884</v>
      </c>
      <c r="CX1423" s="212">
        <v>1</v>
      </c>
    </row>
    <row r="1424" spans="91:102" ht="21" customHeight="1">
      <c r="CM1424" s="210"/>
      <c r="CN1424" s="213" t="s">
        <v>4216</v>
      </c>
      <c r="CO1424" s="213" t="s">
        <v>871</v>
      </c>
      <c r="CP1424" s="213" t="s">
        <v>879</v>
      </c>
      <c r="CQ1424" s="213" t="s">
        <v>4217</v>
      </c>
      <c r="CR1424" s="213" t="s">
        <v>4218</v>
      </c>
      <c r="CS1424" s="213" t="s">
        <v>881</v>
      </c>
      <c r="CT1424" s="213" t="s">
        <v>4171</v>
      </c>
      <c r="CU1424" s="213" t="s">
        <v>883</v>
      </c>
      <c r="CV1424" s="214" t="s">
        <v>884</v>
      </c>
      <c r="CX1424" s="212">
        <v>1</v>
      </c>
    </row>
    <row r="1425" spans="91:102" ht="21" customHeight="1">
      <c r="CM1425" s="210"/>
      <c r="CN1425" s="213" t="s">
        <v>4219</v>
      </c>
      <c r="CO1425" s="213" t="s">
        <v>871</v>
      </c>
      <c r="CP1425" s="213" t="s">
        <v>879</v>
      </c>
      <c r="CQ1425" s="213" t="s">
        <v>4220</v>
      </c>
      <c r="CR1425" s="213" t="s">
        <v>4221</v>
      </c>
      <c r="CS1425" s="213" t="s">
        <v>881</v>
      </c>
      <c r="CT1425" s="213" t="s">
        <v>4171</v>
      </c>
      <c r="CU1425" s="213" t="s">
        <v>883</v>
      </c>
      <c r="CV1425" s="214" t="s">
        <v>884</v>
      </c>
      <c r="CX1425" s="212">
        <v>1</v>
      </c>
    </row>
    <row r="1426" spans="91:102" ht="21" customHeight="1">
      <c r="CM1426" s="210"/>
      <c r="CN1426" s="213" t="s">
        <v>4222</v>
      </c>
      <c r="CO1426" s="213" t="s">
        <v>871</v>
      </c>
      <c r="CP1426" s="213" t="s">
        <v>879</v>
      </c>
      <c r="CQ1426" s="213" t="s">
        <v>1594</v>
      </c>
      <c r="CR1426" s="213" t="s">
        <v>1594</v>
      </c>
      <c r="CS1426" s="213" t="s">
        <v>881</v>
      </c>
      <c r="CT1426" s="213" t="s">
        <v>4171</v>
      </c>
      <c r="CU1426" s="213" t="s">
        <v>883</v>
      </c>
      <c r="CV1426" s="214" t="s">
        <v>884</v>
      </c>
      <c r="CX1426" s="212">
        <v>1</v>
      </c>
    </row>
    <row r="1427" spans="91:102" ht="21" customHeight="1">
      <c r="CM1427" s="210"/>
      <c r="CN1427" s="213" t="s">
        <v>4223</v>
      </c>
      <c r="CO1427" s="213" t="s">
        <v>871</v>
      </c>
      <c r="CP1427" s="213" t="s">
        <v>879</v>
      </c>
      <c r="CQ1427" s="213" t="s">
        <v>1608</v>
      </c>
      <c r="CR1427" s="213" t="s">
        <v>1608</v>
      </c>
      <c r="CS1427" s="213" t="s">
        <v>881</v>
      </c>
      <c r="CT1427" s="213" t="s">
        <v>4171</v>
      </c>
      <c r="CU1427" s="213" t="s">
        <v>883</v>
      </c>
      <c r="CV1427" s="214" t="s">
        <v>884</v>
      </c>
      <c r="CX1427" s="212">
        <v>1</v>
      </c>
    </row>
    <row r="1428" spans="91:102" ht="21" customHeight="1">
      <c r="CM1428" s="210"/>
      <c r="CN1428" s="213" t="s">
        <v>4224</v>
      </c>
      <c r="CO1428" s="213" t="s">
        <v>871</v>
      </c>
      <c r="CP1428" s="213" t="s">
        <v>879</v>
      </c>
      <c r="CQ1428" s="213" t="s">
        <v>4225</v>
      </c>
      <c r="CR1428" s="213" t="s">
        <v>4225</v>
      </c>
      <c r="CS1428" s="213" t="s">
        <v>881</v>
      </c>
      <c r="CT1428" s="213" t="s">
        <v>4171</v>
      </c>
      <c r="CU1428" s="213" t="s">
        <v>883</v>
      </c>
      <c r="CV1428" s="214" t="s">
        <v>884</v>
      </c>
      <c r="CX1428" s="212">
        <v>1</v>
      </c>
    </row>
    <row r="1429" spans="91:102" ht="21" customHeight="1">
      <c r="CM1429" s="210"/>
      <c r="CN1429" s="213" t="s">
        <v>4226</v>
      </c>
      <c r="CO1429" s="213" t="s">
        <v>871</v>
      </c>
      <c r="CP1429" s="213" t="s">
        <v>879</v>
      </c>
      <c r="CQ1429" s="213" t="s">
        <v>4227</v>
      </c>
      <c r="CR1429" s="213" t="s">
        <v>4227</v>
      </c>
      <c r="CS1429" s="213" t="s">
        <v>971</v>
      </c>
      <c r="CT1429" s="213" t="s">
        <v>972</v>
      </c>
      <c r="CU1429" s="213" t="s">
        <v>883</v>
      </c>
      <c r="CV1429" s="214" t="s">
        <v>973</v>
      </c>
      <c r="CX1429" s="212">
        <v>1</v>
      </c>
    </row>
    <row r="1430" spans="91:102" ht="21" customHeight="1">
      <c r="CM1430" s="210"/>
      <c r="CN1430" s="213" t="s">
        <v>4228</v>
      </c>
      <c r="CO1430" s="213" t="s">
        <v>871</v>
      </c>
      <c r="CP1430" s="213" t="s">
        <v>879</v>
      </c>
      <c r="CQ1430" s="213" t="s">
        <v>4229</v>
      </c>
      <c r="CR1430" s="213" t="s">
        <v>4229</v>
      </c>
      <c r="CS1430" s="213" t="s">
        <v>971</v>
      </c>
      <c r="CT1430" s="213" t="s">
        <v>972</v>
      </c>
      <c r="CU1430" s="213" t="s">
        <v>883</v>
      </c>
      <c r="CV1430" s="214" t="s">
        <v>973</v>
      </c>
      <c r="CX1430" s="212">
        <v>1</v>
      </c>
    </row>
    <row r="1431" spans="91:102" ht="21" customHeight="1">
      <c r="CM1431" s="210"/>
      <c r="CN1431" s="213" t="s">
        <v>4230</v>
      </c>
      <c r="CO1431" s="213" t="s">
        <v>871</v>
      </c>
      <c r="CP1431" s="213" t="s">
        <v>879</v>
      </c>
      <c r="CQ1431" s="213" t="s">
        <v>4231</v>
      </c>
      <c r="CR1431" s="213" t="s">
        <v>4231</v>
      </c>
      <c r="CS1431" s="213" t="s">
        <v>971</v>
      </c>
      <c r="CT1431" s="213" t="s">
        <v>972</v>
      </c>
      <c r="CU1431" s="213" t="s">
        <v>883</v>
      </c>
      <c r="CV1431" s="214" t="s">
        <v>973</v>
      </c>
      <c r="CX1431" s="212">
        <v>1</v>
      </c>
    </row>
    <row r="1432" spans="91:102" ht="21" customHeight="1">
      <c r="CM1432" s="210"/>
      <c r="CN1432" s="213" t="s">
        <v>4232</v>
      </c>
      <c r="CO1432" s="213" t="s">
        <v>871</v>
      </c>
      <c r="CP1432" s="213" t="s">
        <v>879</v>
      </c>
      <c r="CQ1432" s="213" t="s">
        <v>4233</v>
      </c>
      <c r="CR1432" s="213" t="s">
        <v>4233</v>
      </c>
      <c r="CS1432" s="213" t="s">
        <v>881</v>
      </c>
      <c r="CT1432" s="213" t="s">
        <v>4171</v>
      </c>
      <c r="CU1432" s="213" t="s">
        <v>883</v>
      </c>
      <c r="CV1432" s="214" t="s">
        <v>884</v>
      </c>
      <c r="CX1432" s="212">
        <v>1</v>
      </c>
    </row>
    <row r="1433" spans="91:102" ht="21" customHeight="1">
      <c r="CM1433" s="210"/>
      <c r="CN1433" s="213" t="s">
        <v>4234</v>
      </c>
      <c r="CO1433" s="213" t="s">
        <v>871</v>
      </c>
      <c r="CP1433" s="213" t="s">
        <v>879</v>
      </c>
      <c r="CQ1433" s="213" t="s">
        <v>4235</v>
      </c>
      <c r="CR1433" s="213" t="s">
        <v>4235</v>
      </c>
      <c r="CS1433" s="213" t="s">
        <v>971</v>
      </c>
      <c r="CT1433" s="213" t="s">
        <v>972</v>
      </c>
      <c r="CU1433" s="213" t="s">
        <v>883</v>
      </c>
      <c r="CV1433" s="214" t="s">
        <v>973</v>
      </c>
      <c r="CX1433" s="212">
        <v>1</v>
      </c>
    </row>
    <row r="1434" spans="91:102" ht="21" customHeight="1">
      <c r="CM1434" s="210"/>
      <c r="CN1434" s="213" t="s">
        <v>4236</v>
      </c>
      <c r="CO1434" s="213" t="s">
        <v>871</v>
      </c>
      <c r="CP1434" s="213" t="s">
        <v>879</v>
      </c>
      <c r="CQ1434" s="213" t="s">
        <v>4237</v>
      </c>
      <c r="CR1434" s="213" t="s">
        <v>4237</v>
      </c>
      <c r="CS1434" s="213" t="s">
        <v>971</v>
      </c>
      <c r="CT1434" s="213" t="s">
        <v>972</v>
      </c>
      <c r="CU1434" s="213" t="s">
        <v>883</v>
      </c>
      <c r="CV1434" s="214" t="s">
        <v>973</v>
      </c>
      <c r="CX1434" s="212">
        <v>1</v>
      </c>
    </row>
    <row r="1435" spans="91:102" ht="21" customHeight="1">
      <c r="CM1435" s="210"/>
      <c r="CN1435" s="213" t="s">
        <v>4238</v>
      </c>
      <c r="CO1435" s="213" t="s">
        <v>871</v>
      </c>
      <c r="CP1435" s="213" t="s">
        <v>879</v>
      </c>
      <c r="CQ1435" s="213" t="s">
        <v>4239</v>
      </c>
      <c r="CR1435" s="213" t="s">
        <v>4239</v>
      </c>
      <c r="CS1435" s="213" t="s">
        <v>971</v>
      </c>
      <c r="CT1435" s="213" t="s">
        <v>972</v>
      </c>
      <c r="CU1435" s="213" t="s">
        <v>883</v>
      </c>
      <c r="CV1435" s="214" t="s">
        <v>973</v>
      </c>
      <c r="CX1435" s="212">
        <v>1</v>
      </c>
    </row>
    <row r="1436" spans="91:102" ht="21" customHeight="1">
      <c r="CM1436" s="210"/>
      <c r="CN1436" s="213" t="s">
        <v>4240</v>
      </c>
      <c r="CO1436" s="213" t="s">
        <v>871</v>
      </c>
      <c r="CP1436" s="213" t="s">
        <v>879</v>
      </c>
      <c r="CQ1436" s="213" t="s">
        <v>4241</v>
      </c>
      <c r="CR1436" s="213" t="s">
        <v>4241</v>
      </c>
      <c r="CS1436" s="213" t="s">
        <v>881</v>
      </c>
      <c r="CT1436" s="213" t="s">
        <v>4171</v>
      </c>
      <c r="CU1436" s="213" t="s">
        <v>883</v>
      </c>
      <c r="CV1436" s="214" t="s">
        <v>884</v>
      </c>
      <c r="CX1436" s="212">
        <v>1</v>
      </c>
    </row>
    <row r="1437" spans="91:102" ht="21" customHeight="1">
      <c r="CM1437" s="210"/>
      <c r="CN1437" s="213" t="s">
        <v>4242</v>
      </c>
      <c r="CO1437" s="213" t="s">
        <v>871</v>
      </c>
      <c r="CP1437" s="213" t="s">
        <v>879</v>
      </c>
      <c r="CQ1437" s="213" t="s">
        <v>4243</v>
      </c>
      <c r="CR1437" s="213" t="s">
        <v>4243</v>
      </c>
      <c r="CS1437" s="213" t="s">
        <v>881</v>
      </c>
      <c r="CT1437" s="213" t="s">
        <v>4171</v>
      </c>
      <c r="CU1437" s="213" t="s">
        <v>883</v>
      </c>
      <c r="CV1437" s="214" t="s">
        <v>884</v>
      </c>
      <c r="CX1437" s="212">
        <v>1</v>
      </c>
    </row>
    <row r="1438" spans="91:102" ht="21" customHeight="1">
      <c r="CM1438" s="210"/>
      <c r="CN1438" s="213" t="s">
        <v>4244</v>
      </c>
      <c r="CO1438" s="213" t="s">
        <v>871</v>
      </c>
      <c r="CP1438" s="213" t="s">
        <v>879</v>
      </c>
      <c r="CQ1438" s="213" t="s">
        <v>4245</v>
      </c>
      <c r="CR1438" s="213" t="s">
        <v>4245</v>
      </c>
      <c r="CS1438" s="213" t="s">
        <v>881</v>
      </c>
      <c r="CT1438" s="213" t="s">
        <v>4171</v>
      </c>
      <c r="CU1438" s="213" t="s">
        <v>883</v>
      </c>
      <c r="CV1438" s="214" t="s">
        <v>884</v>
      </c>
      <c r="CX1438" s="212">
        <v>1</v>
      </c>
    </row>
    <row r="1439" spans="91:102" ht="21" customHeight="1">
      <c r="CM1439" s="210"/>
      <c r="CN1439" s="213" t="s">
        <v>4246</v>
      </c>
      <c r="CO1439" s="213" t="s">
        <v>871</v>
      </c>
      <c r="CP1439" s="213" t="s">
        <v>879</v>
      </c>
      <c r="CQ1439" s="213" t="s">
        <v>4247</v>
      </c>
      <c r="CR1439" s="213" t="s">
        <v>4247</v>
      </c>
      <c r="CS1439" s="213" t="s">
        <v>881</v>
      </c>
      <c r="CT1439" s="213" t="s">
        <v>4171</v>
      </c>
      <c r="CU1439" s="213" t="s">
        <v>883</v>
      </c>
      <c r="CV1439" s="214" t="s">
        <v>884</v>
      </c>
      <c r="CX1439" s="212">
        <v>1</v>
      </c>
    </row>
    <row r="1440" spans="91:102" ht="21" customHeight="1">
      <c r="CM1440" s="210"/>
      <c r="CN1440" s="213" t="s">
        <v>4248</v>
      </c>
      <c r="CO1440" s="213" t="s">
        <v>871</v>
      </c>
      <c r="CP1440" s="213" t="s">
        <v>879</v>
      </c>
      <c r="CQ1440" s="213" t="s">
        <v>4249</v>
      </c>
      <c r="CR1440" s="213" t="s">
        <v>4250</v>
      </c>
      <c r="CS1440" s="213" t="s">
        <v>881</v>
      </c>
      <c r="CT1440" s="213" t="s">
        <v>4171</v>
      </c>
      <c r="CU1440" s="213" t="s">
        <v>883</v>
      </c>
      <c r="CV1440" s="214" t="s">
        <v>884</v>
      </c>
      <c r="CX1440" s="212">
        <v>1</v>
      </c>
    </row>
    <row r="1441" spans="91:102" ht="21" customHeight="1">
      <c r="CM1441" s="210"/>
      <c r="CN1441" s="213" t="s">
        <v>4251</v>
      </c>
      <c r="CO1441" s="213" t="s">
        <v>871</v>
      </c>
      <c r="CP1441" s="213" t="s">
        <v>879</v>
      </c>
      <c r="CQ1441" s="213" t="s">
        <v>4252</v>
      </c>
      <c r="CR1441" s="213" t="s">
        <v>4252</v>
      </c>
      <c r="CS1441" s="213" t="s">
        <v>881</v>
      </c>
      <c r="CT1441" s="213" t="s">
        <v>4171</v>
      </c>
      <c r="CU1441" s="213" t="s">
        <v>883</v>
      </c>
      <c r="CV1441" s="214" t="s">
        <v>884</v>
      </c>
      <c r="CX1441" s="212">
        <v>1</v>
      </c>
    </row>
    <row r="1442" spans="91:102" ht="21" customHeight="1">
      <c r="CM1442" s="210"/>
      <c r="CN1442" s="213" t="s">
        <v>4253</v>
      </c>
      <c r="CO1442" s="213" t="s">
        <v>871</v>
      </c>
      <c r="CP1442" s="213" t="s">
        <v>879</v>
      </c>
      <c r="CQ1442" s="213" t="s">
        <v>4254</v>
      </c>
      <c r="CR1442" s="213" t="s">
        <v>4254</v>
      </c>
      <c r="CS1442" s="213" t="s">
        <v>881</v>
      </c>
      <c r="CT1442" s="213" t="s">
        <v>4171</v>
      </c>
      <c r="CU1442" s="213" t="s">
        <v>883</v>
      </c>
      <c r="CV1442" s="214" t="s">
        <v>884</v>
      </c>
      <c r="CX1442" s="212">
        <v>1</v>
      </c>
    </row>
    <row r="1443" spans="91:102" ht="21" customHeight="1">
      <c r="CM1443" s="210"/>
      <c r="CN1443" s="213" t="s">
        <v>4255</v>
      </c>
      <c r="CO1443" s="213" t="s">
        <v>871</v>
      </c>
      <c r="CP1443" s="213" t="s">
        <v>1290</v>
      </c>
      <c r="CQ1443" s="213" t="s">
        <v>4256</v>
      </c>
      <c r="CR1443" s="213" t="s">
        <v>4257</v>
      </c>
      <c r="CS1443" s="213" t="s">
        <v>881</v>
      </c>
      <c r="CT1443" s="213" t="s">
        <v>4258</v>
      </c>
      <c r="CU1443" s="213" t="s">
        <v>883</v>
      </c>
      <c r="CV1443" s="214" t="s">
        <v>884</v>
      </c>
      <c r="CX1443" s="212">
        <v>1</v>
      </c>
    </row>
    <row r="1444" spans="91:102" ht="21" customHeight="1">
      <c r="CM1444" s="210"/>
      <c r="CN1444" s="213" t="s">
        <v>4259</v>
      </c>
      <c r="CO1444" s="213" t="s">
        <v>871</v>
      </c>
      <c r="CP1444" s="213" t="s">
        <v>1290</v>
      </c>
      <c r="CQ1444" s="213" t="s">
        <v>4260</v>
      </c>
      <c r="CR1444" s="213" t="s">
        <v>4261</v>
      </c>
      <c r="CS1444" s="213" t="s">
        <v>881</v>
      </c>
      <c r="CT1444" s="213" t="s">
        <v>4258</v>
      </c>
      <c r="CU1444" s="213" t="s">
        <v>883</v>
      </c>
      <c r="CV1444" s="214" t="s">
        <v>884</v>
      </c>
      <c r="CX1444" s="212">
        <v>1</v>
      </c>
    </row>
    <row r="1445" spans="91:102" ht="21" customHeight="1">
      <c r="CM1445" s="210"/>
      <c r="CN1445" s="213" t="s">
        <v>4262</v>
      </c>
      <c r="CO1445" s="213" t="s">
        <v>871</v>
      </c>
      <c r="CP1445" s="213" t="s">
        <v>1543</v>
      </c>
      <c r="CQ1445" s="213" t="s">
        <v>4263</v>
      </c>
      <c r="CR1445" s="213" t="s">
        <v>4263</v>
      </c>
      <c r="CS1445" s="213" t="s">
        <v>881</v>
      </c>
      <c r="CT1445" s="213" t="s">
        <v>4097</v>
      </c>
      <c r="CU1445" s="213" t="s">
        <v>883</v>
      </c>
      <c r="CV1445" s="214" t="s">
        <v>884</v>
      </c>
      <c r="CX1445" s="212">
        <v>1</v>
      </c>
    </row>
    <row r="1446" spans="91:102" ht="21" customHeight="1">
      <c r="CM1446" s="210"/>
      <c r="CN1446" s="213" t="s">
        <v>4264</v>
      </c>
      <c r="CO1446" s="213" t="s">
        <v>871</v>
      </c>
      <c r="CP1446" s="213" t="s">
        <v>1543</v>
      </c>
      <c r="CQ1446" s="213" t="s">
        <v>4265</v>
      </c>
      <c r="CR1446" s="213" t="s">
        <v>4265</v>
      </c>
      <c r="CS1446" s="213" t="s">
        <v>881</v>
      </c>
      <c r="CT1446" s="213" t="s">
        <v>4097</v>
      </c>
      <c r="CU1446" s="213" t="s">
        <v>883</v>
      </c>
      <c r="CV1446" s="214" t="s">
        <v>884</v>
      </c>
      <c r="CX1446" s="212">
        <v>1</v>
      </c>
    </row>
    <row r="1447" spans="91:102" ht="21" customHeight="1">
      <c r="CM1447" s="210"/>
      <c r="CN1447" s="213" t="s">
        <v>4266</v>
      </c>
      <c r="CO1447" s="213" t="s">
        <v>871</v>
      </c>
      <c r="CP1447" s="213" t="s">
        <v>1543</v>
      </c>
      <c r="CQ1447" s="213" t="s">
        <v>4267</v>
      </c>
      <c r="CR1447" s="213" t="s">
        <v>4267</v>
      </c>
      <c r="CS1447" s="213" t="s">
        <v>881</v>
      </c>
      <c r="CT1447" s="213" t="s">
        <v>4097</v>
      </c>
      <c r="CU1447" s="213" t="s">
        <v>883</v>
      </c>
      <c r="CV1447" s="214" t="s">
        <v>884</v>
      </c>
      <c r="CX1447" s="212">
        <v>1</v>
      </c>
    </row>
    <row r="1448" spans="91:102" ht="21" customHeight="1">
      <c r="CM1448" s="210"/>
      <c r="CN1448" s="213" t="s">
        <v>4268</v>
      </c>
      <c r="CO1448" s="213" t="s">
        <v>871</v>
      </c>
      <c r="CP1448" s="213" t="s">
        <v>1543</v>
      </c>
      <c r="CQ1448" s="213" t="s">
        <v>1572</v>
      </c>
      <c r="CR1448" s="213" t="s">
        <v>1572</v>
      </c>
      <c r="CS1448" s="213" t="s">
        <v>881</v>
      </c>
      <c r="CT1448" s="213" t="s">
        <v>4097</v>
      </c>
      <c r="CU1448" s="213" t="s">
        <v>883</v>
      </c>
      <c r="CV1448" s="214" t="s">
        <v>884</v>
      </c>
      <c r="CX1448" s="212">
        <v>1</v>
      </c>
    </row>
    <row r="1449" spans="91:102" ht="21" customHeight="1">
      <c r="CM1449" s="210"/>
      <c r="CN1449" s="213" t="s">
        <v>4269</v>
      </c>
      <c r="CO1449" s="213" t="s">
        <v>871</v>
      </c>
      <c r="CP1449" s="213" t="s">
        <v>1543</v>
      </c>
      <c r="CQ1449" s="213" t="s">
        <v>4270</v>
      </c>
      <c r="CR1449" s="213" t="s">
        <v>4271</v>
      </c>
      <c r="CS1449" s="213" t="s">
        <v>881</v>
      </c>
      <c r="CT1449" s="213" t="s">
        <v>4097</v>
      </c>
      <c r="CU1449" s="213" t="s">
        <v>883</v>
      </c>
      <c r="CV1449" s="214" t="s">
        <v>884</v>
      </c>
      <c r="CX1449" s="212">
        <v>1</v>
      </c>
    </row>
    <row r="1450" spans="91:102" ht="21" customHeight="1">
      <c r="CM1450" s="210"/>
      <c r="CN1450" s="213" t="s">
        <v>4272</v>
      </c>
      <c r="CO1450" s="213" t="s">
        <v>871</v>
      </c>
      <c r="CP1450" s="213" t="s">
        <v>1543</v>
      </c>
      <c r="CQ1450" s="213" t="s">
        <v>4273</v>
      </c>
      <c r="CR1450" s="213" t="s">
        <v>4273</v>
      </c>
      <c r="CS1450" s="213" t="s">
        <v>881</v>
      </c>
      <c r="CT1450" s="213" t="s">
        <v>4097</v>
      </c>
      <c r="CU1450" s="213" t="s">
        <v>883</v>
      </c>
      <c r="CV1450" s="214" t="s">
        <v>884</v>
      </c>
      <c r="CX1450" s="212">
        <v>1</v>
      </c>
    </row>
    <row r="1451" spans="91:102" ht="21" customHeight="1">
      <c r="CM1451" s="210"/>
      <c r="CN1451" s="213" t="s">
        <v>4274</v>
      </c>
      <c r="CO1451" s="213" t="s">
        <v>871</v>
      </c>
      <c r="CP1451" s="213" t="s">
        <v>1543</v>
      </c>
      <c r="CQ1451" s="213" t="s">
        <v>4275</v>
      </c>
      <c r="CR1451" s="213" t="s">
        <v>4276</v>
      </c>
      <c r="CS1451" s="213" t="s">
        <v>881</v>
      </c>
      <c r="CT1451" s="213" t="s">
        <v>4097</v>
      </c>
      <c r="CU1451" s="213" t="s">
        <v>883</v>
      </c>
      <c r="CV1451" s="214" t="s">
        <v>884</v>
      </c>
      <c r="CX1451" s="212">
        <v>1</v>
      </c>
    </row>
    <row r="1452" spans="91:102" ht="21" customHeight="1">
      <c r="CM1452" s="210"/>
      <c r="CN1452" s="213" t="s">
        <v>4277</v>
      </c>
      <c r="CO1452" s="213" t="s">
        <v>871</v>
      </c>
      <c r="CP1452" s="213" t="s">
        <v>1543</v>
      </c>
      <c r="CQ1452" s="213" t="s">
        <v>4278</v>
      </c>
      <c r="CR1452" s="213" t="s">
        <v>4278</v>
      </c>
      <c r="CS1452" s="213" t="s">
        <v>881</v>
      </c>
      <c r="CT1452" s="213" t="s">
        <v>4097</v>
      </c>
      <c r="CU1452" s="213" t="s">
        <v>883</v>
      </c>
      <c r="CV1452" s="214" t="s">
        <v>884</v>
      </c>
      <c r="CX1452" s="212">
        <v>1</v>
      </c>
    </row>
    <row r="1453" spans="91:102" ht="21" customHeight="1">
      <c r="CM1453" s="210"/>
      <c r="CN1453" s="213" t="s">
        <v>4279</v>
      </c>
      <c r="CO1453" s="213" t="s">
        <v>871</v>
      </c>
      <c r="CP1453" s="213" t="s">
        <v>1543</v>
      </c>
      <c r="CQ1453" s="213" t="s">
        <v>4280</v>
      </c>
      <c r="CR1453" s="213" t="s">
        <v>4280</v>
      </c>
      <c r="CS1453" s="213" t="s">
        <v>881</v>
      </c>
      <c r="CT1453" s="213" t="s">
        <v>4097</v>
      </c>
      <c r="CU1453" s="213" t="s">
        <v>883</v>
      </c>
      <c r="CV1453" s="214" t="s">
        <v>884</v>
      </c>
      <c r="CX1453" s="212">
        <v>1</v>
      </c>
    </row>
    <row r="1454" spans="91:102" ht="21" customHeight="1">
      <c r="CM1454" s="210"/>
      <c r="CN1454" s="213" t="s">
        <v>4281</v>
      </c>
      <c r="CO1454" s="213" t="s">
        <v>871</v>
      </c>
      <c r="CP1454" s="213" t="s">
        <v>1543</v>
      </c>
      <c r="CQ1454" s="213" t="s">
        <v>4282</v>
      </c>
      <c r="CR1454" s="213" t="s">
        <v>4282</v>
      </c>
      <c r="CS1454" s="213" t="s">
        <v>881</v>
      </c>
      <c r="CT1454" s="213" t="s">
        <v>4097</v>
      </c>
      <c r="CU1454" s="213" t="s">
        <v>883</v>
      </c>
      <c r="CV1454" s="214" t="s">
        <v>884</v>
      </c>
      <c r="CX1454" s="212">
        <v>1</v>
      </c>
    </row>
    <row r="1455" spans="91:102" ht="21" customHeight="1">
      <c r="CM1455" s="210"/>
      <c r="CN1455" s="213" t="s">
        <v>4283</v>
      </c>
      <c r="CO1455" s="213" t="s">
        <v>871</v>
      </c>
      <c r="CP1455" s="213" t="s">
        <v>1543</v>
      </c>
      <c r="CQ1455" s="213" t="s">
        <v>4284</v>
      </c>
      <c r="CR1455" s="213" t="s">
        <v>4284</v>
      </c>
      <c r="CS1455" s="213" t="s">
        <v>881</v>
      </c>
      <c r="CT1455" s="213" t="s">
        <v>4097</v>
      </c>
      <c r="CU1455" s="213" t="s">
        <v>883</v>
      </c>
      <c r="CV1455" s="214" t="s">
        <v>884</v>
      </c>
      <c r="CX1455" s="212">
        <v>1</v>
      </c>
    </row>
    <row r="1456" spans="91:102" ht="21" customHeight="1">
      <c r="CM1456" s="210"/>
      <c r="CN1456" s="213" t="s">
        <v>4285</v>
      </c>
      <c r="CO1456" s="213" t="s">
        <v>888</v>
      </c>
      <c r="CP1456" s="213" t="s">
        <v>879</v>
      </c>
      <c r="CQ1456" s="213" t="s">
        <v>4286</v>
      </c>
      <c r="CR1456" s="213" t="s">
        <v>4286</v>
      </c>
      <c r="CS1456" s="213" t="s">
        <v>4287</v>
      </c>
      <c r="CT1456" s="213" t="s">
        <v>4288</v>
      </c>
      <c r="CU1456" s="213" t="s">
        <v>1150</v>
      </c>
      <c r="CV1456" s="214" t="s">
        <v>4289</v>
      </c>
      <c r="CX1456" s="212">
        <v>1</v>
      </c>
    </row>
    <row r="1457" spans="91:102" ht="21" customHeight="1">
      <c r="CM1457" s="210"/>
      <c r="CN1457" s="213" t="s">
        <v>4290</v>
      </c>
      <c r="CO1457" s="213" t="s">
        <v>888</v>
      </c>
      <c r="CP1457" s="213" t="s">
        <v>879</v>
      </c>
      <c r="CQ1457" s="213" t="s">
        <v>4291</v>
      </c>
      <c r="CR1457" s="213" t="s">
        <v>4291</v>
      </c>
      <c r="CS1457" s="213" t="s">
        <v>4287</v>
      </c>
      <c r="CT1457" s="213" t="s">
        <v>4288</v>
      </c>
      <c r="CU1457" s="213" t="s">
        <v>1150</v>
      </c>
      <c r="CV1457" s="214" t="s">
        <v>4289</v>
      </c>
      <c r="CX1457" s="212">
        <v>1</v>
      </c>
    </row>
    <row r="1458" spans="91:102" ht="21" customHeight="1">
      <c r="CM1458" s="210"/>
      <c r="CN1458" s="213" t="s">
        <v>4292</v>
      </c>
      <c r="CO1458" s="213" t="s">
        <v>888</v>
      </c>
      <c r="CP1458" s="213" t="s">
        <v>879</v>
      </c>
      <c r="CQ1458" s="213" t="s">
        <v>4293</v>
      </c>
      <c r="CR1458" s="213" t="s">
        <v>4293</v>
      </c>
      <c r="CS1458" s="213" t="s">
        <v>4287</v>
      </c>
      <c r="CT1458" s="213" t="s">
        <v>4288</v>
      </c>
      <c r="CU1458" s="213" t="s">
        <v>1150</v>
      </c>
      <c r="CV1458" s="214" t="s">
        <v>4289</v>
      </c>
      <c r="CX1458" s="212">
        <v>1</v>
      </c>
    </row>
    <row r="1459" spans="91:102" ht="21" customHeight="1">
      <c r="CM1459" s="210"/>
      <c r="CN1459" s="213" t="s">
        <v>4294</v>
      </c>
      <c r="CO1459" s="213" t="s">
        <v>888</v>
      </c>
      <c r="CP1459" s="213" t="s">
        <v>879</v>
      </c>
      <c r="CQ1459" s="213" t="s">
        <v>4295</v>
      </c>
      <c r="CR1459" s="213" t="s">
        <v>4295</v>
      </c>
      <c r="CS1459" s="213" t="s">
        <v>4287</v>
      </c>
      <c r="CT1459" s="213" t="s">
        <v>4288</v>
      </c>
      <c r="CU1459" s="213" t="s">
        <v>1150</v>
      </c>
      <c r="CV1459" s="214" t="s">
        <v>4289</v>
      </c>
      <c r="CX1459" s="212">
        <v>1</v>
      </c>
    </row>
    <row r="1460" spans="91:102" ht="21" customHeight="1">
      <c r="CM1460" s="210"/>
      <c r="CN1460" s="213" t="s">
        <v>4296</v>
      </c>
      <c r="CO1460" s="213" t="s">
        <v>888</v>
      </c>
      <c r="CP1460" s="213" t="s">
        <v>879</v>
      </c>
      <c r="CQ1460" s="213" t="s">
        <v>4297</v>
      </c>
      <c r="CR1460" s="213" t="s">
        <v>4297</v>
      </c>
      <c r="CS1460" s="213" t="s">
        <v>4287</v>
      </c>
      <c r="CT1460" s="213" t="s">
        <v>4288</v>
      </c>
      <c r="CU1460" s="213" t="s">
        <v>1150</v>
      </c>
      <c r="CV1460" s="214" t="s">
        <v>4289</v>
      </c>
      <c r="CX1460" s="212">
        <v>1</v>
      </c>
    </row>
    <row r="1461" spans="91:102" ht="21" customHeight="1">
      <c r="CM1461" s="210"/>
      <c r="CN1461" s="213" t="s">
        <v>4298</v>
      </c>
      <c r="CO1461" s="213" t="s">
        <v>888</v>
      </c>
      <c r="CP1461" s="213" t="s">
        <v>879</v>
      </c>
      <c r="CQ1461" s="213" t="s">
        <v>4299</v>
      </c>
      <c r="CR1461" s="213" t="s">
        <v>4299</v>
      </c>
      <c r="CS1461" s="213" t="s">
        <v>4287</v>
      </c>
      <c r="CT1461" s="213" t="s">
        <v>4288</v>
      </c>
      <c r="CU1461" s="213" t="s">
        <v>1150</v>
      </c>
      <c r="CV1461" s="214" t="s">
        <v>4289</v>
      </c>
      <c r="CX1461" s="212">
        <v>1</v>
      </c>
    </row>
    <row r="1462" spans="91:102" ht="21" customHeight="1">
      <c r="CM1462" s="210"/>
      <c r="CN1462" s="213" t="s">
        <v>4300</v>
      </c>
      <c r="CO1462" s="213" t="s">
        <v>888</v>
      </c>
      <c r="CP1462" s="213" t="s">
        <v>879</v>
      </c>
      <c r="CQ1462" s="213" t="s">
        <v>4301</v>
      </c>
      <c r="CR1462" s="213" t="s">
        <v>4301</v>
      </c>
      <c r="CS1462" s="213" t="s">
        <v>881</v>
      </c>
      <c r="CT1462" s="213" t="s">
        <v>4302</v>
      </c>
      <c r="CU1462" s="213" t="s">
        <v>883</v>
      </c>
      <c r="CV1462" s="214" t="s">
        <v>884</v>
      </c>
      <c r="CX1462" s="212">
        <v>1</v>
      </c>
    </row>
    <row r="1463" spans="91:102" ht="21" customHeight="1">
      <c r="CM1463" s="210"/>
      <c r="CN1463" s="213" t="s">
        <v>4303</v>
      </c>
      <c r="CO1463" s="213" t="s">
        <v>888</v>
      </c>
      <c r="CP1463" s="213" t="s">
        <v>879</v>
      </c>
      <c r="CQ1463" s="213" t="s">
        <v>4304</v>
      </c>
      <c r="CR1463" s="213" t="s">
        <v>4304</v>
      </c>
      <c r="CS1463" s="213" t="s">
        <v>4287</v>
      </c>
      <c r="CT1463" s="213" t="s">
        <v>4288</v>
      </c>
      <c r="CU1463" s="213" t="s">
        <v>1150</v>
      </c>
      <c r="CV1463" s="214" t="s">
        <v>4289</v>
      </c>
      <c r="CX1463" s="212">
        <v>1</v>
      </c>
    </row>
    <row r="1464" spans="91:102" ht="21" customHeight="1">
      <c r="CM1464" s="210"/>
      <c r="CN1464" s="213" t="s">
        <v>4305</v>
      </c>
      <c r="CO1464" s="213" t="s">
        <v>888</v>
      </c>
      <c r="CP1464" s="213" t="s">
        <v>879</v>
      </c>
      <c r="CQ1464" s="213" t="s">
        <v>4306</v>
      </c>
      <c r="CR1464" s="213" t="s">
        <v>4306</v>
      </c>
      <c r="CS1464" s="213" t="s">
        <v>971</v>
      </c>
      <c r="CT1464" s="213" t="s">
        <v>972</v>
      </c>
      <c r="CU1464" s="213" t="s">
        <v>883</v>
      </c>
      <c r="CV1464" s="214" t="s">
        <v>973</v>
      </c>
      <c r="CX1464" s="212">
        <v>1</v>
      </c>
    </row>
    <row r="1465" spans="91:102" ht="21" customHeight="1">
      <c r="CM1465" s="210"/>
      <c r="CN1465" s="213" t="s">
        <v>4307</v>
      </c>
      <c r="CO1465" s="213" t="s">
        <v>888</v>
      </c>
      <c r="CP1465" s="213" t="s">
        <v>879</v>
      </c>
      <c r="CQ1465" s="213" t="s">
        <v>4308</v>
      </c>
      <c r="CR1465" s="213" t="s">
        <v>4308</v>
      </c>
      <c r="CS1465" s="213" t="s">
        <v>4287</v>
      </c>
      <c r="CT1465" s="213" t="s">
        <v>4288</v>
      </c>
      <c r="CU1465" s="213" t="s">
        <v>1150</v>
      </c>
      <c r="CV1465" s="214" t="s">
        <v>4289</v>
      </c>
      <c r="CX1465" s="212">
        <v>1</v>
      </c>
    </row>
    <row r="1466" spans="91:102" ht="21" customHeight="1">
      <c r="CM1466" s="210"/>
      <c r="CN1466" s="213" t="s">
        <v>4309</v>
      </c>
      <c r="CO1466" s="213" t="s">
        <v>888</v>
      </c>
      <c r="CP1466" s="213" t="s">
        <v>879</v>
      </c>
      <c r="CQ1466" s="213" t="s">
        <v>4310</v>
      </c>
      <c r="CR1466" s="213" t="s">
        <v>4310</v>
      </c>
      <c r="CS1466" s="213" t="s">
        <v>881</v>
      </c>
      <c r="CT1466" s="213" t="s">
        <v>4302</v>
      </c>
      <c r="CU1466" s="213" t="s">
        <v>883</v>
      </c>
      <c r="CV1466" s="214" t="s">
        <v>884</v>
      </c>
      <c r="CX1466" s="212">
        <v>1</v>
      </c>
    </row>
    <row r="1467" spans="91:102" ht="21" customHeight="1">
      <c r="CM1467" s="210"/>
      <c r="CN1467" s="213" t="s">
        <v>4311</v>
      </c>
      <c r="CO1467" s="213" t="s">
        <v>888</v>
      </c>
      <c r="CP1467" s="213" t="s">
        <v>879</v>
      </c>
      <c r="CQ1467" s="213" t="s">
        <v>4312</v>
      </c>
      <c r="CR1467" s="213" t="s">
        <v>4312</v>
      </c>
      <c r="CS1467" s="213" t="s">
        <v>4287</v>
      </c>
      <c r="CT1467" s="213" t="s">
        <v>4288</v>
      </c>
      <c r="CU1467" s="213" t="s">
        <v>1150</v>
      </c>
      <c r="CV1467" s="214" t="s">
        <v>4289</v>
      </c>
      <c r="CX1467" s="212">
        <v>1</v>
      </c>
    </row>
    <row r="1468" spans="91:102" ht="21" customHeight="1">
      <c r="CM1468" s="210"/>
      <c r="CN1468" s="213" t="s">
        <v>4313</v>
      </c>
      <c r="CO1468" s="213" t="s">
        <v>888</v>
      </c>
      <c r="CP1468" s="213" t="s">
        <v>879</v>
      </c>
      <c r="CQ1468" s="213" t="s">
        <v>4314</v>
      </c>
      <c r="CR1468" s="213" t="s">
        <v>4314</v>
      </c>
      <c r="CS1468" s="213" t="s">
        <v>881</v>
      </c>
      <c r="CT1468" s="213" t="s">
        <v>4302</v>
      </c>
      <c r="CU1468" s="213" t="s">
        <v>883</v>
      </c>
      <c r="CV1468" s="214" t="s">
        <v>884</v>
      </c>
      <c r="CX1468" s="212">
        <v>1</v>
      </c>
    </row>
    <row r="1469" spans="91:102" ht="21" customHeight="1">
      <c r="CM1469" s="210"/>
      <c r="CN1469" s="213" t="s">
        <v>4315</v>
      </c>
      <c r="CO1469" s="213" t="s">
        <v>888</v>
      </c>
      <c r="CP1469" s="213" t="s">
        <v>879</v>
      </c>
      <c r="CQ1469" s="213" t="s">
        <v>4316</v>
      </c>
      <c r="CR1469" s="213" t="s">
        <v>4316</v>
      </c>
      <c r="CS1469" s="213" t="s">
        <v>4287</v>
      </c>
      <c r="CT1469" s="213" t="s">
        <v>4288</v>
      </c>
      <c r="CU1469" s="213" t="s">
        <v>1150</v>
      </c>
      <c r="CV1469" s="214" t="s">
        <v>4289</v>
      </c>
      <c r="CX1469" s="212">
        <v>1</v>
      </c>
    </row>
    <row r="1470" spans="91:102" ht="21" customHeight="1">
      <c r="CM1470" s="210"/>
      <c r="CN1470" s="213" t="s">
        <v>4317</v>
      </c>
      <c r="CO1470" s="213" t="s">
        <v>888</v>
      </c>
      <c r="CP1470" s="213" t="s">
        <v>879</v>
      </c>
      <c r="CQ1470" s="213" t="s">
        <v>4318</v>
      </c>
      <c r="CR1470" s="213" t="s">
        <v>4319</v>
      </c>
      <c r="CS1470" s="213" t="s">
        <v>4287</v>
      </c>
      <c r="CT1470" s="213" t="s">
        <v>4288</v>
      </c>
      <c r="CU1470" s="213" t="s">
        <v>1150</v>
      </c>
      <c r="CV1470" s="214" t="s">
        <v>4289</v>
      </c>
      <c r="CX1470" s="212">
        <v>1</v>
      </c>
    </row>
    <row r="1471" spans="91:102" ht="21" customHeight="1">
      <c r="CM1471" s="210"/>
      <c r="CN1471" s="213" t="s">
        <v>4320</v>
      </c>
      <c r="CO1471" s="213" t="s">
        <v>888</v>
      </c>
      <c r="CP1471" s="213" t="s">
        <v>879</v>
      </c>
      <c r="CQ1471" s="213" t="s">
        <v>4321</v>
      </c>
      <c r="CR1471" s="213" t="s">
        <v>4321</v>
      </c>
      <c r="CS1471" s="213" t="s">
        <v>881</v>
      </c>
      <c r="CT1471" s="213" t="s">
        <v>4302</v>
      </c>
      <c r="CU1471" s="213" t="s">
        <v>883</v>
      </c>
      <c r="CV1471" s="214" t="s">
        <v>884</v>
      </c>
      <c r="CX1471" s="212">
        <v>1</v>
      </c>
    </row>
    <row r="1472" spans="91:102" ht="21" customHeight="1">
      <c r="CM1472" s="210"/>
      <c r="CN1472" s="213" t="s">
        <v>4322</v>
      </c>
      <c r="CO1472" s="213" t="s">
        <v>888</v>
      </c>
      <c r="CP1472" s="213" t="s">
        <v>879</v>
      </c>
      <c r="CQ1472" s="213" t="s">
        <v>4323</v>
      </c>
      <c r="CR1472" s="213" t="s">
        <v>4323</v>
      </c>
      <c r="CS1472" s="213" t="s">
        <v>881</v>
      </c>
      <c r="CT1472" s="213" t="s">
        <v>4302</v>
      </c>
      <c r="CU1472" s="213" t="s">
        <v>883</v>
      </c>
      <c r="CV1472" s="214" t="s">
        <v>884</v>
      </c>
      <c r="CX1472" s="212">
        <v>1</v>
      </c>
    </row>
    <row r="1473" spans="91:102" ht="21" customHeight="1">
      <c r="CM1473" s="210"/>
      <c r="CN1473" s="213" t="s">
        <v>4324</v>
      </c>
      <c r="CO1473" s="213" t="s">
        <v>888</v>
      </c>
      <c r="CP1473" s="213" t="s">
        <v>879</v>
      </c>
      <c r="CQ1473" s="213" t="s">
        <v>4325</v>
      </c>
      <c r="CR1473" s="213" t="s">
        <v>4325</v>
      </c>
      <c r="CS1473" s="213" t="s">
        <v>881</v>
      </c>
      <c r="CT1473" s="213" t="s">
        <v>4302</v>
      </c>
      <c r="CU1473" s="213" t="s">
        <v>883</v>
      </c>
      <c r="CV1473" s="214" t="s">
        <v>884</v>
      </c>
      <c r="CX1473" s="212">
        <v>1</v>
      </c>
    </row>
    <row r="1474" spans="91:102" ht="21" customHeight="1">
      <c r="CM1474" s="210"/>
      <c r="CN1474" s="213" t="s">
        <v>4326</v>
      </c>
      <c r="CO1474" s="213" t="s">
        <v>888</v>
      </c>
      <c r="CP1474" s="213" t="s">
        <v>879</v>
      </c>
      <c r="CQ1474" s="213" t="s">
        <v>4327</v>
      </c>
      <c r="CR1474" s="213" t="s">
        <v>4328</v>
      </c>
      <c r="CS1474" s="213" t="s">
        <v>4287</v>
      </c>
      <c r="CT1474" s="213" t="s">
        <v>4288</v>
      </c>
      <c r="CU1474" s="213" t="s">
        <v>1150</v>
      </c>
      <c r="CV1474" s="214" t="s">
        <v>4289</v>
      </c>
      <c r="CX1474" s="212">
        <v>1</v>
      </c>
    </row>
    <row r="1475" spans="91:102" ht="21" customHeight="1">
      <c r="CM1475" s="210"/>
      <c r="CN1475" s="213" t="s">
        <v>4329</v>
      </c>
      <c r="CO1475" s="213" t="s">
        <v>888</v>
      </c>
      <c r="CP1475" s="213" t="s">
        <v>879</v>
      </c>
      <c r="CQ1475" s="213" t="s">
        <v>4330</v>
      </c>
      <c r="CR1475" s="213" t="s">
        <v>4330</v>
      </c>
      <c r="CS1475" s="213" t="s">
        <v>4287</v>
      </c>
      <c r="CT1475" s="213" t="s">
        <v>4288</v>
      </c>
      <c r="CU1475" s="213" t="s">
        <v>1150</v>
      </c>
      <c r="CV1475" s="214" t="s">
        <v>4289</v>
      </c>
      <c r="CX1475" s="212">
        <v>1</v>
      </c>
    </row>
    <row r="1476" spans="91:102" ht="21" customHeight="1">
      <c r="CM1476" s="210"/>
      <c r="CN1476" s="213" t="s">
        <v>4331</v>
      </c>
      <c r="CO1476" s="213" t="s">
        <v>888</v>
      </c>
      <c r="CP1476" s="213" t="s">
        <v>879</v>
      </c>
      <c r="CQ1476" s="213" t="s">
        <v>4332</v>
      </c>
      <c r="CR1476" s="213" t="s">
        <v>4333</v>
      </c>
      <c r="CS1476" s="213" t="s">
        <v>881</v>
      </c>
      <c r="CT1476" s="213" t="s">
        <v>4302</v>
      </c>
      <c r="CU1476" s="213" t="s">
        <v>883</v>
      </c>
      <c r="CV1476" s="214" t="s">
        <v>884</v>
      </c>
      <c r="CX1476" s="212">
        <v>1</v>
      </c>
    </row>
    <row r="1477" spans="91:102" ht="21" customHeight="1">
      <c r="CM1477" s="210"/>
      <c r="CN1477" s="213" t="s">
        <v>4334</v>
      </c>
      <c r="CO1477" s="213" t="s">
        <v>888</v>
      </c>
      <c r="CP1477" s="213" t="s">
        <v>879</v>
      </c>
      <c r="CQ1477" s="213" t="s">
        <v>4335</v>
      </c>
      <c r="CR1477" s="213" t="s">
        <v>4335</v>
      </c>
      <c r="CS1477" s="213" t="s">
        <v>4287</v>
      </c>
      <c r="CT1477" s="213" t="s">
        <v>4288</v>
      </c>
      <c r="CU1477" s="213" t="s">
        <v>1150</v>
      </c>
      <c r="CV1477" s="214" t="s">
        <v>4289</v>
      </c>
      <c r="CX1477" s="212">
        <v>1</v>
      </c>
    </row>
    <row r="1478" spans="91:102" ht="21" customHeight="1">
      <c r="CM1478" s="210"/>
      <c r="CN1478" s="213" t="s">
        <v>4336</v>
      </c>
      <c r="CO1478" s="213" t="s">
        <v>888</v>
      </c>
      <c r="CP1478" s="213" t="s">
        <v>879</v>
      </c>
      <c r="CQ1478" s="213" t="s">
        <v>4337</v>
      </c>
      <c r="CR1478" s="213" t="s">
        <v>4337</v>
      </c>
      <c r="CS1478" s="213" t="s">
        <v>881</v>
      </c>
      <c r="CT1478" s="213" t="s">
        <v>4302</v>
      </c>
      <c r="CU1478" s="213" t="s">
        <v>883</v>
      </c>
      <c r="CV1478" s="214" t="s">
        <v>884</v>
      </c>
      <c r="CX1478" s="212">
        <v>1</v>
      </c>
    </row>
    <row r="1479" spans="91:102" ht="21" customHeight="1">
      <c r="CM1479" s="210"/>
      <c r="CN1479" s="213" t="s">
        <v>4338</v>
      </c>
      <c r="CO1479" s="213" t="s">
        <v>888</v>
      </c>
      <c r="CP1479" s="213" t="s">
        <v>879</v>
      </c>
      <c r="CQ1479" s="213" t="s">
        <v>4339</v>
      </c>
      <c r="CR1479" s="213" t="s">
        <v>4339</v>
      </c>
      <c r="CS1479" s="213" t="s">
        <v>4287</v>
      </c>
      <c r="CT1479" s="213" t="s">
        <v>4288</v>
      </c>
      <c r="CU1479" s="213" t="s">
        <v>1150</v>
      </c>
      <c r="CV1479" s="214" t="s">
        <v>4289</v>
      </c>
      <c r="CX1479" s="212">
        <v>1</v>
      </c>
    </row>
    <row r="1480" spans="91:102" ht="21" customHeight="1">
      <c r="CM1480" s="210"/>
      <c r="CN1480" s="213" t="s">
        <v>4340</v>
      </c>
      <c r="CO1480" s="213" t="s">
        <v>888</v>
      </c>
      <c r="CP1480" s="213" t="s">
        <v>879</v>
      </c>
      <c r="CQ1480" s="213" t="s">
        <v>4341</v>
      </c>
      <c r="CR1480" s="213" t="s">
        <v>4341</v>
      </c>
      <c r="CS1480" s="213" t="s">
        <v>4287</v>
      </c>
      <c r="CT1480" s="213" t="s">
        <v>4288</v>
      </c>
      <c r="CU1480" s="213" t="s">
        <v>1150</v>
      </c>
      <c r="CV1480" s="214" t="s">
        <v>4289</v>
      </c>
      <c r="CX1480" s="212">
        <v>1</v>
      </c>
    </row>
    <row r="1481" spans="91:102" ht="21" customHeight="1">
      <c r="CM1481" s="210"/>
      <c r="CN1481" s="213" t="s">
        <v>4342</v>
      </c>
      <c r="CO1481" s="213" t="s">
        <v>888</v>
      </c>
      <c r="CP1481" s="213" t="s">
        <v>879</v>
      </c>
      <c r="CQ1481" s="213" t="s">
        <v>4343</v>
      </c>
      <c r="CR1481" s="213" t="s">
        <v>4343</v>
      </c>
      <c r="CS1481" s="213" t="s">
        <v>4287</v>
      </c>
      <c r="CT1481" s="213" t="s">
        <v>4288</v>
      </c>
      <c r="CU1481" s="213" t="s">
        <v>1150</v>
      </c>
      <c r="CV1481" s="214" t="s">
        <v>4289</v>
      </c>
      <c r="CX1481" s="212">
        <v>1</v>
      </c>
    </row>
    <row r="1482" spans="91:102" ht="21" customHeight="1">
      <c r="CM1482" s="210"/>
      <c r="CN1482" s="213" t="s">
        <v>4344</v>
      </c>
      <c r="CO1482" s="213" t="s">
        <v>888</v>
      </c>
      <c r="CP1482" s="213" t="s">
        <v>879</v>
      </c>
      <c r="CQ1482" s="213" t="s">
        <v>4345</v>
      </c>
      <c r="CR1482" s="213" t="s">
        <v>4345</v>
      </c>
      <c r="CS1482" s="213" t="s">
        <v>4287</v>
      </c>
      <c r="CT1482" s="213" t="s">
        <v>4288</v>
      </c>
      <c r="CU1482" s="213" t="s">
        <v>1150</v>
      </c>
      <c r="CV1482" s="214" t="s">
        <v>4289</v>
      </c>
      <c r="CX1482" s="212">
        <v>1</v>
      </c>
    </row>
    <row r="1483" spans="91:102" ht="21" customHeight="1">
      <c r="CM1483" s="210"/>
      <c r="CN1483" s="213" t="s">
        <v>4346</v>
      </c>
      <c r="CO1483" s="213" t="s">
        <v>888</v>
      </c>
      <c r="CP1483" s="213" t="s">
        <v>879</v>
      </c>
      <c r="CQ1483" s="213" t="s">
        <v>4347</v>
      </c>
      <c r="CR1483" s="213" t="s">
        <v>4347</v>
      </c>
      <c r="CS1483" s="213" t="s">
        <v>881</v>
      </c>
      <c r="CT1483" s="213" t="s">
        <v>4302</v>
      </c>
      <c r="CU1483" s="213" t="s">
        <v>883</v>
      </c>
      <c r="CV1483" s="214" t="s">
        <v>884</v>
      </c>
      <c r="CX1483" s="212">
        <v>1</v>
      </c>
    </row>
    <row r="1484" spans="91:102" ht="21" customHeight="1">
      <c r="CM1484" s="210"/>
      <c r="CN1484" s="213" t="s">
        <v>4348</v>
      </c>
      <c r="CO1484" s="213" t="s">
        <v>888</v>
      </c>
      <c r="CP1484" s="213" t="s">
        <v>879</v>
      </c>
      <c r="CQ1484" s="213" t="s">
        <v>4349</v>
      </c>
      <c r="CR1484" s="213" t="s">
        <v>4349</v>
      </c>
      <c r="CS1484" s="213" t="s">
        <v>4287</v>
      </c>
      <c r="CT1484" s="213" t="s">
        <v>4288</v>
      </c>
      <c r="CU1484" s="213" t="s">
        <v>1150</v>
      </c>
      <c r="CV1484" s="214" t="s">
        <v>4289</v>
      </c>
      <c r="CX1484" s="212">
        <v>1</v>
      </c>
    </row>
    <row r="1485" spans="91:102" ht="21" customHeight="1">
      <c r="CM1485" s="210"/>
      <c r="CN1485" s="213" t="s">
        <v>4350</v>
      </c>
      <c r="CO1485" s="213" t="s">
        <v>888</v>
      </c>
      <c r="CP1485" s="213" t="s">
        <v>879</v>
      </c>
      <c r="CQ1485" s="213" t="s">
        <v>4351</v>
      </c>
      <c r="CR1485" s="213" t="s">
        <v>4351</v>
      </c>
      <c r="CS1485" s="213" t="s">
        <v>4287</v>
      </c>
      <c r="CT1485" s="213" t="s">
        <v>4288</v>
      </c>
      <c r="CU1485" s="213" t="s">
        <v>1150</v>
      </c>
      <c r="CV1485" s="214" t="s">
        <v>4289</v>
      </c>
      <c r="CX1485" s="212">
        <v>1</v>
      </c>
    </row>
    <row r="1486" spans="91:102" ht="21" customHeight="1">
      <c r="CM1486" s="210"/>
      <c r="CN1486" s="213" t="s">
        <v>4352</v>
      </c>
      <c r="CO1486" s="213" t="s">
        <v>888</v>
      </c>
      <c r="CP1486" s="213" t="s">
        <v>879</v>
      </c>
      <c r="CQ1486" s="213" t="s">
        <v>4353</v>
      </c>
      <c r="CR1486" s="213" t="s">
        <v>4354</v>
      </c>
      <c r="CS1486" s="213" t="s">
        <v>4287</v>
      </c>
      <c r="CT1486" s="213" t="s">
        <v>4288</v>
      </c>
      <c r="CU1486" s="213" t="s">
        <v>1150</v>
      </c>
      <c r="CV1486" s="214" t="s">
        <v>4289</v>
      </c>
      <c r="CX1486" s="212">
        <v>1</v>
      </c>
    </row>
    <row r="1487" spans="91:102" ht="21" customHeight="1">
      <c r="CM1487" s="210"/>
      <c r="CN1487" s="213" t="s">
        <v>4355</v>
      </c>
      <c r="CO1487" s="213" t="s">
        <v>888</v>
      </c>
      <c r="CP1487" s="213" t="s">
        <v>879</v>
      </c>
      <c r="CQ1487" s="213" t="s">
        <v>4356</v>
      </c>
      <c r="CR1487" s="213" t="s">
        <v>4356</v>
      </c>
      <c r="CS1487" s="213" t="s">
        <v>881</v>
      </c>
      <c r="CT1487" s="213" t="s">
        <v>4302</v>
      </c>
      <c r="CU1487" s="213" t="s">
        <v>883</v>
      </c>
      <c r="CV1487" s="214" t="s">
        <v>884</v>
      </c>
      <c r="CX1487" s="212">
        <v>1</v>
      </c>
    </row>
    <row r="1488" spans="91:102" ht="21" customHeight="1">
      <c r="CM1488" s="210"/>
      <c r="CN1488" s="213" t="s">
        <v>4357</v>
      </c>
      <c r="CO1488" s="213" t="s">
        <v>888</v>
      </c>
      <c r="CP1488" s="213" t="s">
        <v>879</v>
      </c>
      <c r="CQ1488" s="213" t="s">
        <v>4358</v>
      </c>
      <c r="CR1488" s="213" t="s">
        <v>4358</v>
      </c>
      <c r="CS1488" s="213" t="s">
        <v>881</v>
      </c>
      <c r="CT1488" s="213" t="s">
        <v>4302</v>
      </c>
      <c r="CU1488" s="213" t="s">
        <v>883</v>
      </c>
      <c r="CV1488" s="214" t="s">
        <v>884</v>
      </c>
      <c r="CX1488" s="212">
        <v>1</v>
      </c>
    </row>
    <row r="1489" spans="91:102" ht="21" customHeight="1">
      <c r="CM1489" s="210"/>
      <c r="CN1489" s="213" t="s">
        <v>4359</v>
      </c>
      <c r="CO1489" s="213" t="s">
        <v>888</v>
      </c>
      <c r="CP1489" s="213" t="s">
        <v>879</v>
      </c>
      <c r="CQ1489" s="213" t="s">
        <v>4360</v>
      </c>
      <c r="CR1489" s="213" t="s">
        <v>4360</v>
      </c>
      <c r="CS1489" s="213" t="s">
        <v>4287</v>
      </c>
      <c r="CT1489" s="213" t="s">
        <v>4288</v>
      </c>
      <c r="CU1489" s="213" t="s">
        <v>1150</v>
      </c>
      <c r="CV1489" s="214" t="s">
        <v>4289</v>
      </c>
      <c r="CX1489" s="212">
        <v>1</v>
      </c>
    </row>
    <row r="1490" spans="91:102" ht="21" customHeight="1">
      <c r="CM1490" s="210"/>
      <c r="CN1490" s="213" t="s">
        <v>4361</v>
      </c>
      <c r="CO1490" s="213" t="s">
        <v>888</v>
      </c>
      <c r="CP1490" s="213" t="s">
        <v>879</v>
      </c>
      <c r="CQ1490" s="213" t="s">
        <v>4362</v>
      </c>
      <c r="CR1490" s="213" t="s">
        <v>4362</v>
      </c>
      <c r="CS1490" s="213" t="s">
        <v>4287</v>
      </c>
      <c r="CT1490" s="213" t="s">
        <v>4288</v>
      </c>
      <c r="CU1490" s="213" t="s">
        <v>1150</v>
      </c>
      <c r="CV1490" s="214" t="s">
        <v>4289</v>
      </c>
      <c r="CX1490" s="212">
        <v>1</v>
      </c>
    </row>
    <row r="1491" spans="91:102" ht="21" customHeight="1">
      <c r="CM1491" s="210"/>
      <c r="CN1491" s="213" t="s">
        <v>4363</v>
      </c>
      <c r="CO1491" s="213" t="s">
        <v>888</v>
      </c>
      <c r="CP1491" s="213" t="s">
        <v>879</v>
      </c>
      <c r="CQ1491" s="213" t="s">
        <v>4364</v>
      </c>
      <c r="CR1491" s="213" t="s">
        <v>4365</v>
      </c>
      <c r="CS1491" s="213" t="s">
        <v>4287</v>
      </c>
      <c r="CT1491" s="213" t="s">
        <v>4288</v>
      </c>
      <c r="CU1491" s="213" t="s">
        <v>1150</v>
      </c>
      <c r="CV1491" s="214" t="s">
        <v>4289</v>
      </c>
      <c r="CX1491" s="212">
        <v>1</v>
      </c>
    </row>
    <row r="1492" spans="91:102" ht="21" customHeight="1">
      <c r="CM1492" s="210"/>
      <c r="CN1492" s="213" t="s">
        <v>4366</v>
      </c>
      <c r="CO1492" s="213" t="s">
        <v>888</v>
      </c>
      <c r="CP1492" s="213" t="s">
        <v>879</v>
      </c>
      <c r="CQ1492" s="213" t="s">
        <v>4367</v>
      </c>
      <c r="CR1492" s="213" t="s">
        <v>4367</v>
      </c>
      <c r="CS1492" s="213" t="s">
        <v>881</v>
      </c>
      <c r="CT1492" s="213" t="s">
        <v>4302</v>
      </c>
      <c r="CU1492" s="213" t="s">
        <v>883</v>
      </c>
      <c r="CV1492" s="214" t="s">
        <v>884</v>
      </c>
      <c r="CX1492" s="212">
        <v>1</v>
      </c>
    </row>
    <row r="1493" spans="91:102" ht="21" customHeight="1">
      <c r="CM1493" s="210"/>
      <c r="CN1493" s="213" t="s">
        <v>4368</v>
      </c>
      <c r="CO1493" s="213" t="s">
        <v>888</v>
      </c>
      <c r="CP1493" s="213" t="s">
        <v>879</v>
      </c>
      <c r="CQ1493" s="213" t="s">
        <v>4369</v>
      </c>
      <c r="CR1493" s="213" t="s">
        <v>4369</v>
      </c>
      <c r="CS1493" s="213" t="s">
        <v>971</v>
      </c>
      <c r="CT1493" s="213" t="s">
        <v>972</v>
      </c>
      <c r="CU1493" s="213" t="s">
        <v>883</v>
      </c>
      <c r="CV1493" s="214" t="s">
        <v>973</v>
      </c>
      <c r="CX1493" s="212">
        <v>1</v>
      </c>
    </row>
    <row r="1494" spans="91:102" ht="21" customHeight="1">
      <c r="CM1494" s="210"/>
      <c r="CN1494" s="213" t="s">
        <v>4370</v>
      </c>
      <c r="CO1494" s="213" t="s">
        <v>888</v>
      </c>
      <c r="CP1494" s="213" t="s">
        <v>879</v>
      </c>
      <c r="CQ1494" s="213" t="s">
        <v>4371</v>
      </c>
      <c r="CR1494" s="213" t="s">
        <v>4371</v>
      </c>
      <c r="CS1494" s="213" t="s">
        <v>4287</v>
      </c>
      <c r="CT1494" s="213" t="s">
        <v>4288</v>
      </c>
      <c r="CU1494" s="213" t="s">
        <v>1150</v>
      </c>
      <c r="CV1494" s="214" t="s">
        <v>4289</v>
      </c>
      <c r="CX1494" s="212">
        <v>1</v>
      </c>
    </row>
    <row r="1495" spans="91:102" ht="21" customHeight="1">
      <c r="CM1495" s="210"/>
      <c r="CN1495" s="213" t="s">
        <v>4372</v>
      </c>
      <c r="CO1495" s="213" t="s">
        <v>888</v>
      </c>
      <c r="CP1495" s="213" t="s">
        <v>879</v>
      </c>
      <c r="CQ1495" s="213" t="s">
        <v>4373</v>
      </c>
      <c r="CR1495" s="213" t="s">
        <v>4374</v>
      </c>
      <c r="CS1495" s="213" t="s">
        <v>4287</v>
      </c>
      <c r="CT1495" s="213" t="s">
        <v>4288</v>
      </c>
      <c r="CU1495" s="213" t="s">
        <v>1150</v>
      </c>
      <c r="CV1495" s="214" t="s">
        <v>4289</v>
      </c>
      <c r="CX1495" s="212">
        <v>1</v>
      </c>
    </row>
    <row r="1496" spans="91:102" ht="21" customHeight="1">
      <c r="CM1496" s="210"/>
      <c r="CN1496" s="213" t="s">
        <v>4375</v>
      </c>
      <c r="CO1496" s="213" t="s">
        <v>888</v>
      </c>
      <c r="CP1496" s="213" t="s">
        <v>879</v>
      </c>
      <c r="CQ1496" s="213" t="s">
        <v>4376</v>
      </c>
      <c r="CR1496" s="213" t="s">
        <v>4376</v>
      </c>
      <c r="CS1496" s="213" t="s">
        <v>4287</v>
      </c>
      <c r="CT1496" s="213" t="s">
        <v>4288</v>
      </c>
      <c r="CU1496" s="213" t="s">
        <v>1150</v>
      </c>
      <c r="CV1496" s="214" t="s">
        <v>4289</v>
      </c>
      <c r="CX1496" s="212">
        <v>1</v>
      </c>
    </row>
    <row r="1497" spans="91:102" ht="21" customHeight="1">
      <c r="CM1497" s="210"/>
      <c r="CN1497" s="213" t="s">
        <v>4377</v>
      </c>
      <c r="CO1497" s="213" t="s">
        <v>888</v>
      </c>
      <c r="CP1497" s="213" t="s">
        <v>879</v>
      </c>
      <c r="CQ1497" s="213" t="s">
        <v>4378</v>
      </c>
      <c r="CR1497" s="213" t="s">
        <v>4378</v>
      </c>
      <c r="CS1497" s="213" t="s">
        <v>4287</v>
      </c>
      <c r="CT1497" s="213" t="s">
        <v>4288</v>
      </c>
      <c r="CU1497" s="213" t="s">
        <v>1150</v>
      </c>
      <c r="CV1497" s="214" t="s">
        <v>4289</v>
      </c>
      <c r="CX1497" s="212">
        <v>1</v>
      </c>
    </row>
    <row r="1498" spans="91:102" ht="21" customHeight="1">
      <c r="CM1498" s="210"/>
      <c r="CN1498" s="213" t="s">
        <v>4379</v>
      </c>
      <c r="CO1498" s="213" t="s">
        <v>888</v>
      </c>
      <c r="CP1498" s="213" t="s">
        <v>879</v>
      </c>
      <c r="CQ1498" s="213" t="s">
        <v>4380</v>
      </c>
      <c r="CR1498" s="213" t="s">
        <v>4380</v>
      </c>
      <c r="CS1498" s="213" t="s">
        <v>4287</v>
      </c>
      <c r="CT1498" s="213" t="s">
        <v>4288</v>
      </c>
      <c r="CU1498" s="213" t="s">
        <v>1150</v>
      </c>
      <c r="CV1498" s="214" t="s">
        <v>4289</v>
      </c>
      <c r="CX1498" s="212">
        <v>1</v>
      </c>
    </row>
    <row r="1499" spans="91:102" ht="21" customHeight="1">
      <c r="CM1499" s="210"/>
      <c r="CN1499" s="213" t="s">
        <v>4381</v>
      </c>
      <c r="CO1499" s="213" t="s">
        <v>888</v>
      </c>
      <c r="CP1499" s="213" t="s">
        <v>879</v>
      </c>
      <c r="CQ1499" s="213" t="s">
        <v>4382</v>
      </c>
      <c r="CR1499" s="213" t="s">
        <v>4383</v>
      </c>
      <c r="CS1499" s="213" t="s">
        <v>4287</v>
      </c>
      <c r="CT1499" s="213" t="s">
        <v>4288</v>
      </c>
      <c r="CU1499" s="213" t="s">
        <v>1150</v>
      </c>
      <c r="CV1499" s="214" t="s">
        <v>4289</v>
      </c>
      <c r="CX1499" s="212">
        <v>1</v>
      </c>
    </row>
    <row r="1500" spans="91:102" ht="21" customHeight="1">
      <c r="CM1500" s="210"/>
      <c r="CN1500" s="213" t="s">
        <v>4384</v>
      </c>
      <c r="CO1500" s="213" t="s">
        <v>888</v>
      </c>
      <c r="CP1500" s="213" t="s">
        <v>879</v>
      </c>
      <c r="CQ1500" s="213" t="s">
        <v>4385</v>
      </c>
      <c r="CR1500" s="213" t="s">
        <v>4386</v>
      </c>
      <c r="CS1500" s="213" t="s">
        <v>4287</v>
      </c>
      <c r="CT1500" s="213" t="s">
        <v>4288</v>
      </c>
      <c r="CU1500" s="213" t="s">
        <v>1150</v>
      </c>
      <c r="CV1500" s="214" t="s">
        <v>4289</v>
      </c>
      <c r="CX1500" s="212">
        <v>1</v>
      </c>
    </row>
    <row r="1501" spans="91:102" ht="21" customHeight="1">
      <c r="CM1501" s="210"/>
      <c r="CN1501" s="213" t="s">
        <v>4387</v>
      </c>
      <c r="CO1501" s="213" t="s">
        <v>888</v>
      </c>
      <c r="CP1501" s="213" t="s">
        <v>879</v>
      </c>
      <c r="CQ1501" s="213" t="s">
        <v>4388</v>
      </c>
      <c r="CR1501" s="213" t="s">
        <v>4388</v>
      </c>
      <c r="CS1501" s="213" t="s">
        <v>881</v>
      </c>
      <c r="CT1501" s="213" t="s">
        <v>4302</v>
      </c>
      <c r="CU1501" s="213" t="s">
        <v>883</v>
      </c>
      <c r="CV1501" s="214" t="s">
        <v>884</v>
      </c>
      <c r="CX1501" s="212">
        <v>1</v>
      </c>
    </row>
    <row r="1502" spans="91:102" ht="21" customHeight="1">
      <c r="CM1502" s="210"/>
      <c r="CN1502" s="213" t="s">
        <v>4389</v>
      </c>
      <c r="CO1502" s="213" t="s">
        <v>888</v>
      </c>
      <c r="CP1502" s="213" t="s">
        <v>879</v>
      </c>
      <c r="CQ1502" s="213" t="s">
        <v>4390</v>
      </c>
      <c r="CR1502" s="213" t="s">
        <v>4390</v>
      </c>
      <c r="CS1502" s="213" t="s">
        <v>4287</v>
      </c>
      <c r="CT1502" s="213" t="s">
        <v>4288</v>
      </c>
      <c r="CU1502" s="213" t="s">
        <v>1150</v>
      </c>
      <c r="CV1502" s="214" t="s">
        <v>4289</v>
      </c>
      <c r="CX1502" s="212">
        <v>1</v>
      </c>
    </row>
    <row r="1503" spans="91:102" ht="21" customHeight="1">
      <c r="CM1503" s="210"/>
      <c r="CN1503" s="213" t="s">
        <v>4391</v>
      </c>
      <c r="CO1503" s="213" t="s">
        <v>888</v>
      </c>
      <c r="CP1503" s="213" t="s">
        <v>879</v>
      </c>
      <c r="CQ1503" s="213" t="s">
        <v>4392</v>
      </c>
      <c r="CR1503" s="213" t="s">
        <v>4392</v>
      </c>
      <c r="CS1503" s="213" t="s">
        <v>881</v>
      </c>
      <c r="CT1503" s="213" t="s">
        <v>4302</v>
      </c>
      <c r="CU1503" s="213" t="s">
        <v>883</v>
      </c>
      <c r="CV1503" s="214" t="s">
        <v>884</v>
      </c>
      <c r="CX1503" s="212">
        <v>1</v>
      </c>
    </row>
    <row r="1504" spans="91:102" ht="21" customHeight="1">
      <c r="CM1504" s="210"/>
      <c r="CN1504" s="213" t="s">
        <v>4393</v>
      </c>
      <c r="CO1504" s="213" t="s">
        <v>888</v>
      </c>
      <c r="CP1504" s="213" t="s">
        <v>879</v>
      </c>
      <c r="CQ1504" s="213" t="s">
        <v>4394</v>
      </c>
      <c r="CR1504" s="213" t="s">
        <v>4394</v>
      </c>
      <c r="CS1504" s="213" t="s">
        <v>881</v>
      </c>
      <c r="CT1504" s="213" t="s">
        <v>4302</v>
      </c>
      <c r="CU1504" s="213" t="s">
        <v>883</v>
      </c>
      <c r="CV1504" s="214" t="s">
        <v>884</v>
      </c>
      <c r="CX1504" s="212">
        <v>1</v>
      </c>
    </row>
    <row r="1505" spans="91:102" ht="21" customHeight="1">
      <c r="CM1505" s="210"/>
      <c r="CN1505" s="213" t="s">
        <v>4395</v>
      </c>
      <c r="CO1505" s="213" t="s">
        <v>888</v>
      </c>
      <c r="CP1505" s="213" t="s">
        <v>879</v>
      </c>
      <c r="CQ1505" s="213" t="s">
        <v>4396</v>
      </c>
      <c r="CR1505" s="213" t="s">
        <v>4396</v>
      </c>
      <c r="CS1505" s="213" t="s">
        <v>4287</v>
      </c>
      <c r="CT1505" s="213" t="s">
        <v>4288</v>
      </c>
      <c r="CU1505" s="213" t="s">
        <v>1150</v>
      </c>
      <c r="CV1505" s="214" t="s">
        <v>4289</v>
      </c>
      <c r="CX1505" s="212">
        <v>1</v>
      </c>
    </row>
    <row r="1506" spans="91:102" ht="21" customHeight="1">
      <c r="CM1506" s="210"/>
      <c r="CN1506" s="213" t="s">
        <v>4397</v>
      </c>
      <c r="CO1506" s="213" t="s">
        <v>888</v>
      </c>
      <c r="CP1506" s="213" t="s">
        <v>879</v>
      </c>
      <c r="CQ1506" s="213" t="s">
        <v>4398</v>
      </c>
      <c r="CR1506" s="213" t="s">
        <v>4398</v>
      </c>
      <c r="CS1506" s="213" t="s">
        <v>4287</v>
      </c>
      <c r="CT1506" s="213" t="s">
        <v>4288</v>
      </c>
      <c r="CU1506" s="213" t="s">
        <v>1150</v>
      </c>
      <c r="CV1506" s="214" t="s">
        <v>4289</v>
      </c>
      <c r="CX1506" s="212">
        <v>1</v>
      </c>
    </row>
    <row r="1507" spans="91:102" ht="21" customHeight="1">
      <c r="CM1507" s="210"/>
      <c r="CN1507" s="213" t="s">
        <v>4399</v>
      </c>
      <c r="CO1507" s="213" t="s">
        <v>888</v>
      </c>
      <c r="CP1507" s="213" t="s">
        <v>879</v>
      </c>
      <c r="CQ1507" s="213" t="s">
        <v>4400</v>
      </c>
      <c r="CR1507" s="213" t="s">
        <v>4400</v>
      </c>
      <c r="CS1507" s="213" t="s">
        <v>881</v>
      </c>
      <c r="CT1507" s="213" t="s">
        <v>4302</v>
      </c>
      <c r="CU1507" s="213" t="s">
        <v>883</v>
      </c>
      <c r="CV1507" s="214" t="s">
        <v>884</v>
      </c>
      <c r="CX1507" s="212">
        <v>1</v>
      </c>
    </row>
    <row r="1508" spans="91:102" ht="21" customHeight="1">
      <c r="CM1508" s="210"/>
      <c r="CN1508" s="213" t="s">
        <v>4401</v>
      </c>
      <c r="CO1508" s="213" t="s">
        <v>888</v>
      </c>
      <c r="CP1508" s="213" t="s">
        <v>879</v>
      </c>
      <c r="CQ1508" s="213" t="s">
        <v>4402</v>
      </c>
      <c r="CR1508" s="213" t="s">
        <v>4403</v>
      </c>
      <c r="CS1508" s="213" t="s">
        <v>4287</v>
      </c>
      <c r="CT1508" s="213" t="s">
        <v>4288</v>
      </c>
      <c r="CU1508" s="213" t="s">
        <v>1150</v>
      </c>
      <c r="CV1508" s="214" t="s">
        <v>4289</v>
      </c>
      <c r="CX1508" s="212">
        <v>1</v>
      </c>
    </row>
    <row r="1509" spans="91:102" ht="21" customHeight="1">
      <c r="CM1509" s="210"/>
      <c r="CN1509" s="213" t="s">
        <v>4404</v>
      </c>
      <c r="CO1509" s="213" t="s">
        <v>888</v>
      </c>
      <c r="CP1509" s="213" t="s">
        <v>879</v>
      </c>
      <c r="CQ1509" s="213" t="s">
        <v>4405</v>
      </c>
      <c r="CR1509" s="213" t="s">
        <v>4406</v>
      </c>
      <c r="CS1509" s="213" t="s">
        <v>881</v>
      </c>
      <c r="CT1509" s="213" t="s">
        <v>4302</v>
      </c>
      <c r="CU1509" s="213" t="s">
        <v>883</v>
      </c>
      <c r="CV1509" s="214" t="s">
        <v>884</v>
      </c>
      <c r="CX1509" s="212">
        <v>1</v>
      </c>
    </row>
    <row r="1510" spans="91:102" ht="21" customHeight="1">
      <c r="CM1510" s="210"/>
      <c r="CN1510" s="213" t="s">
        <v>4407</v>
      </c>
      <c r="CO1510" s="213" t="s">
        <v>888</v>
      </c>
      <c r="CP1510" s="213" t="s">
        <v>879</v>
      </c>
      <c r="CQ1510" s="213" t="s">
        <v>4408</v>
      </c>
      <c r="CR1510" s="213" t="s">
        <v>4409</v>
      </c>
      <c r="CS1510" s="213" t="s">
        <v>4287</v>
      </c>
      <c r="CT1510" s="213" t="s">
        <v>4288</v>
      </c>
      <c r="CU1510" s="213" t="s">
        <v>1150</v>
      </c>
      <c r="CV1510" s="214" t="s">
        <v>4289</v>
      </c>
      <c r="CX1510" s="212">
        <v>1</v>
      </c>
    </row>
    <row r="1511" spans="91:102" ht="21" customHeight="1">
      <c r="CM1511" s="210"/>
      <c r="CN1511" s="213" t="s">
        <v>4410</v>
      </c>
      <c r="CO1511" s="213" t="s">
        <v>888</v>
      </c>
      <c r="CP1511" s="213" t="s">
        <v>879</v>
      </c>
      <c r="CQ1511" s="213" t="s">
        <v>4411</v>
      </c>
      <c r="CR1511" s="213" t="s">
        <v>4411</v>
      </c>
      <c r="CS1511" s="213" t="s">
        <v>971</v>
      </c>
      <c r="CT1511" s="213" t="s">
        <v>972</v>
      </c>
      <c r="CU1511" s="213" t="s">
        <v>883</v>
      </c>
      <c r="CV1511" s="214" t="s">
        <v>973</v>
      </c>
      <c r="CX1511" s="212">
        <v>1</v>
      </c>
    </row>
    <row r="1512" spans="91:102" ht="21" customHeight="1">
      <c r="CM1512" s="210"/>
      <c r="CN1512" s="213" t="s">
        <v>4412</v>
      </c>
      <c r="CO1512" s="213" t="s">
        <v>888</v>
      </c>
      <c r="CP1512" s="213" t="s">
        <v>879</v>
      </c>
      <c r="CQ1512" s="213" t="s">
        <v>4413</v>
      </c>
      <c r="CR1512" s="213" t="s">
        <v>4414</v>
      </c>
      <c r="CS1512" s="213" t="s">
        <v>881</v>
      </c>
      <c r="CT1512" s="213" t="s">
        <v>4302</v>
      </c>
      <c r="CU1512" s="213" t="s">
        <v>883</v>
      </c>
      <c r="CV1512" s="214" t="s">
        <v>884</v>
      </c>
      <c r="CX1512" s="212">
        <v>1</v>
      </c>
    </row>
    <row r="1513" spans="91:102" ht="21" customHeight="1">
      <c r="CM1513" s="210"/>
      <c r="CN1513" s="213" t="s">
        <v>4415</v>
      </c>
      <c r="CO1513" s="213" t="s">
        <v>888</v>
      </c>
      <c r="CP1513" s="213" t="s">
        <v>879</v>
      </c>
      <c r="CQ1513" s="213" t="s">
        <v>4416</v>
      </c>
      <c r="CR1513" s="213" t="s">
        <v>4417</v>
      </c>
      <c r="CS1513" s="213" t="s">
        <v>4287</v>
      </c>
      <c r="CT1513" s="213" t="s">
        <v>4288</v>
      </c>
      <c r="CU1513" s="213" t="s">
        <v>1150</v>
      </c>
      <c r="CV1513" s="214" t="s">
        <v>4289</v>
      </c>
      <c r="CX1513" s="212">
        <v>1</v>
      </c>
    </row>
    <row r="1514" spans="91:102" ht="21" customHeight="1">
      <c r="CM1514" s="210"/>
      <c r="CN1514" s="213" t="s">
        <v>4418</v>
      </c>
      <c r="CO1514" s="213" t="s">
        <v>888</v>
      </c>
      <c r="CP1514" s="213" t="s">
        <v>879</v>
      </c>
      <c r="CQ1514" s="213" t="s">
        <v>4419</v>
      </c>
      <c r="CR1514" s="213" t="s">
        <v>4420</v>
      </c>
      <c r="CS1514" s="213" t="s">
        <v>4287</v>
      </c>
      <c r="CT1514" s="213" t="s">
        <v>4288</v>
      </c>
      <c r="CU1514" s="213" t="s">
        <v>1150</v>
      </c>
      <c r="CV1514" s="214" t="s">
        <v>4289</v>
      </c>
      <c r="CX1514" s="212">
        <v>1</v>
      </c>
    </row>
    <row r="1515" spans="91:102" ht="21" customHeight="1">
      <c r="CM1515" s="210"/>
      <c r="CN1515" s="213" t="s">
        <v>4421</v>
      </c>
      <c r="CO1515" s="213" t="s">
        <v>888</v>
      </c>
      <c r="CP1515" s="213" t="s">
        <v>879</v>
      </c>
      <c r="CQ1515" s="213" t="s">
        <v>4422</v>
      </c>
      <c r="CR1515" s="213" t="s">
        <v>4423</v>
      </c>
      <c r="CS1515" s="213" t="s">
        <v>881</v>
      </c>
      <c r="CT1515" s="213" t="s">
        <v>4302</v>
      </c>
      <c r="CU1515" s="213" t="s">
        <v>883</v>
      </c>
      <c r="CV1515" s="214" t="s">
        <v>884</v>
      </c>
      <c r="CX1515" s="212">
        <v>1</v>
      </c>
    </row>
    <row r="1516" spans="91:102" ht="21" customHeight="1">
      <c r="CM1516" s="210"/>
      <c r="CN1516" s="213" t="s">
        <v>4424</v>
      </c>
      <c r="CO1516" s="213" t="s">
        <v>888</v>
      </c>
      <c r="CP1516" s="213" t="s">
        <v>879</v>
      </c>
      <c r="CQ1516" s="213" t="s">
        <v>4425</v>
      </c>
      <c r="CR1516" s="213" t="s">
        <v>4426</v>
      </c>
      <c r="CS1516" s="213" t="s">
        <v>881</v>
      </c>
      <c r="CT1516" s="213" t="s">
        <v>4302</v>
      </c>
      <c r="CU1516" s="213" t="s">
        <v>883</v>
      </c>
      <c r="CV1516" s="214" t="s">
        <v>884</v>
      </c>
      <c r="CX1516" s="212">
        <v>1</v>
      </c>
    </row>
    <row r="1517" spans="91:102" ht="21" customHeight="1">
      <c r="CM1517" s="210"/>
      <c r="CN1517" s="213" t="s">
        <v>4427</v>
      </c>
      <c r="CO1517" s="213" t="s">
        <v>888</v>
      </c>
      <c r="CP1517" s="213" t="s">
        <v>879</v>
      </c>
      <c r="CQ1517" s="213" t="s">
        <v>4428</v>
      </c>
      <c r="CR1517" s="213" t="s">
        <v>4428</v>
      </c>
      <c r="CS1517" s="213" t="s">
        <v>4287</v>
      </c>
      <c r="CT1517" s="213" t="s">
        <v>4288</v>
      </c>
      <c r="CU1517" s="213" t="s">
        <v>1150</v>
      </c>
      <c r="CV1517" s="214" t="s">
        <v>4289</v>
      </c>
      <c r="CX1517" s="212">
        <v>1</v>
      </c>
    </row>
    <row r="1518" spans="91:102" ht="21" customHeight="1">
      <c r="CM1518" s="210"/>
      <c r="CN1518" s="213" t="s">
        <v>4429</v>
      </c>
      <c r="CO1518" s="213" t="s">
        <v>888</v>
      </c>
      <c r="CP1518" s="213" t="s">
        <v>879</v>
      </c>
      <c r="CQ1518" s="213" t="s">
        <v>4430</v>
      </c>
      <c r="CR1518" s="213" t="s">
        <v>4430</v>
      </c>
      <c r="CS1518" s="213" t="s">
        <v>881</v>
      </c>
      <c r="CT1518" s="213" t="s">
        <v>4302</v>
      </c>
      <c r="CU1518" s="213" t="s">
        <v>883</v>
      </c>
      <c r="CV1518" s="214" t="s">
        <v>884</v>
      </c>
      <c r="CX1518" s="212">
        <v>1</v>
      </c>
    </row>
    <row r="1519" spans="91:102" ht="21" customHeight="1">
      <c r="CM1519" s="210"/>
      <c r="CN1519" s="213" t="s">
        <v>4431</v>
      </c>
      <c r="CO1519" s="213" t="s">
        <v>888</v>
      </c>
      <c r="CP1519" s="213" t="s">
        <v>879</v>
      </c>
      <c r="CQ1519" s="213" t="s">
        <v>4432</v>
      </c>
      <c r="CR1519" s="213" t="s">
        <v>4432</v>
      </c>
      <c r="CS1519" s="213" t="s">
        <v>4287</v>
      </c>
      <c r="CT1519" s="213" t="s">
        <v>4288</v>
      </c>
      <c r="CU1519" s="213" t="s">
        <v>1150</v>
      </c>
      <c r="CV1519" s="214" t="s">
        <v>4289</v>
      </c>
      <c r="CX1519" s="212">
        <v>1</v>
      </c>
    </row>
    <row r="1520" spans="91:102" ht="21" customHeight="1">
      <c r="CM1520" s="210"/>
      <c r="CN1520" s="213" t="s">
        <v>4433</v>
      </c>
      <c r="CO1520" s="213" t="s">
        <v>888</v>
      </c>
      <c r="CP1520" s="213" t="s">
        <v>879</v>
      </c>
      <c r="CQ1520" s="213" t="s">
        <v>4434</v>
      </c>
      <c r="CR1520" s="213" t="s">
        <v>4434</v>
      </c>
      <c r="CS1520" s="213" t="s">
        <v>4287</v>
      </c>
      <c r="CT1520" s="213" t="s">
        <v>4288</v>
      </c>
      <c r="CU1520" s="213" t="s">
        <v>1150</v>
      </c>
      <c r="CV1520" s="214" t="s">
        <v>4289</v>
      </c>
      <c r="CX1520" s="212">
        <v>1</v>
      </c>
    </row>
    <row r="1521" spans="91:102" ht="21" customHeight="1">
      <c r="CM1521" s="210"/>
      <c r="CN1521" s="213" t="s">
        <v>4435</v>
      </c>
      <c r="CO1521" s="213" t="s">
        <v>888</v>
      </c>
      <c r="CP1521" s="213" t="s">
        <v>879</v>
      </c>
      <c r="CQ1521" s="213" t="s">
        <v>4436</v>
      </c>
      <c r="CR1521" s="213" t="s">
        <v>4436</v>
      </c>
      <c r="CS1521" s="213" t="s">
        <v>881</v>
      </c>
      <c r="CT1521" s="213" t="s">
        <v>4302</v>
      </c>
      <c r="CU1521" s="213" t="s">
        <v>883</v>
      </c>
      <c r="CV1521" s="214" t="s">
        <v>884</v>
      </c>
      <c r="CX1521" s="212">
        <v>1</v>
      </c>
    </row>
    <row r="1522" spans="91:102" ht="21" customHeight="1">
      <c r="CM1522" s="210"/>
      <c r="CN1522" s="213" t="s">
        <v>4437</v>
      </c>
      <c r="CO1522" s="213" t="s">
        <v>888</v>
      </c>
      <c r="CP1522" s="213" t="s">
        <v>879</v>
      </c>
      <c r="CQ1522" s="213" t="s">
        <v>4438</v>
      </c>
      <c r="CR1522" s="213" t="s">
        <v>4438</v>
      </c>
      <c r="CS1522" s="213" t="s">
        <v>971</v>
      </c>
      <c r="CT1522" s="213" t="s">
        <v>972</v>
      </c>
      <c r="CU1522" s="213" t="s">
        <v>883</v>
      </c>
      <c r="CV1522" s="214" t="s">
        <v>973</v>
      </c>
      <c r="CX1522" s="212">
        <v>1</v>
      </c>
    </row>
    <row r="1523" spans="91:102" ht="21" customHeight="1">
      <c r="CM1523" s="210"/>
      <c r="CN1523" s="213" t="s">
        <v>4439</v>
      </c>
      <c r="CO1523" s="213" t="s">
        <v>888</v>
      </c>
      <c r="CP1523" s="213" t="s">
        <v>879</v>
      </c>
      <c r="CQ1523" s="213" t="s">
        <v>4440</v>
      </c>
      <c r="CR1523" s="213" t="s">
        <v>4440</v>
      </c>
      <c r="CS1523" s="213" t="s">
        <v>4287</v>
      </c>
      <c r="CT1523" s="213" t="s">
        <v>4288</v>
      </c>
      <c r="CU1523" s="213" t="s">
        <v>1150</v>
      </c>
      <c r="CV1523" s="214" t="s">
        <v>4289</v>
      </c>
      <c r="CX1523" s="212">
        <v>1</v>
      </c>
    </row>
    <row r="1524" spans="91:102" ht="21" customHeight="1">
      <c r="CM1524" s="210"/>
      <c r="CN1524" s="213" t="s">
        <v>4441</v>
      </c>
      <c r="CO1524" s="213" t="s">
        <v>888</v>
      </c>
      <c r="CP1524" s="213" t="s">
        <v>879</v>
      </c>
      <c r="CQ1524" s="213" t="s">
        <v>4442</v>
      </c>
      <c r="CR1524" s="213" t="s">
        <v>4443</v>
      </c>
      <c r="CS1524" s="213" t="s">
        <v>881</v>
      </c>
      <c r="CT1524" s="213" t="s">
        <v>4302</v>
      </c>
      <c r="CU1524" s="213" t="s">
        <v>883</v>
      </c>
      <c r="CV1524" s="214" t="s">
        <v>884</v>
      </c>
      <c r="CX1524" s="212">
        <v>1</v>
      </c>
    </row>
    <row r="1525" spans="91:102" ht="21" customHeight="1">
      <c r="CM1525" s="210"/>
      <c r="CN1525" s="213" t="s">
        <v>4444</v>
      </c>
      <c r="CO1525" s="213" t="s">
        <v>888</v>
      </c>
      <c r="CP1525" s="213" t="s">
        <v>879</v>
      </c>
      <c r="CQ1525" s="213" t="s">
        <v>4445</v>
      </c>
      <c r="CR1525" s="213" t="s">
        <v>4446</v>
      </c>
      <c r="CS1525" s="213" t="s">
        <v>4287</v>
      </c>
      <c r="CT1525" s="213" t="s">
        <v>4288</v>
      </c>
      <c r="CU1525" s="213" t="s">
        <v>1150</v>
      </c>
      <c r="CV1525" s="214" t="s">
        <v>4289</v>
      </c>
      <c r="CX1525" s="212">
        <v>1</v>
      </c>
    </row>
    <row r="1526" spans="91:102" ht="21" customHeight="1">
      <c r="CM1526" s="210"/>
      <c r="CN1526" s="213" t="s">
        <v>4447</v>
      </c>
      <c r="CO1526" s="213" t="s">
        <v>888</v>
      </c>
      <c r="CP1526" s="213" t="s">
        <v>879</v>
      </c>
      <c r="CQ1526" s="213" t="s">
        <v>4448</v>
      </c>
      <c r="CR1526" s="213" t="s">
        <v>4448</v>
      </c>
      <c r="CS1526" s="213" t="s">
        <v>4287</v>
      </c>
      <c r="CT1526" s="213" t="s">
        <v>4288</v>
      </c>
      <c r="CU1526" s="213" t="s">
        <v>1150</v>
      </c>
      <c r="CV1526" s="214" t="s">
        <v>4289</v>
      </c>
      <c r="CX1526" s="212">
        <v>1</v>
      </c>
    </row>
    <row r="1527" spans="91:102" ht="21" customHeight="1">
      <c r="CM1527" s="210"/>
      <c r="CN1527" s="213" t="s">
        <v>4449</v>
      </c>
      <c r="CO1527" s="213" t="s">
        <v>888</v>
      </c>
      <c r="CP1527" s="213" t="s">
        <v>879</v>
      </c>
      <c r="CQ1527" s="213" t="s">
        <v>4450</v>
      </c>
      <c r="CR1527" s="213" t="s">
        <v>4450</v>
      </c>
      <c r="CS1527" s="213" t="s">
        <v>881</v>
      </c>
      <c r="CT1527" s="213" t="s">
        <v>4302</v>
      </c>
      <c r="CU1527" s="213" t="s">
        <v>883</v>
      </c>
      <c r="CV1527" s="214" t="s">
        <v>884</v>
      </c>
      <c r="CX1527" s="212">
        <v>1</v>
      </c>
    </row>
    <row r="1528" spans="91:102" ht="21" customHeight="1">
      <c r="CM1528" s="210"/>
      <c r="CN1528" s="213" t="s">
        <v>4451</v>
      </c>
      <c r="CO1528" s="213" t="s">
        <v>888</v>
      </c>
      <c r="CP1528" s="213" t="s">
        <v>879</v>
      </c>
      <c r="CQ1528" s="213" t="s">
        <v>4452</v>
      </c>
      <c r="CR1528" s="213" t="s">
        <v>4452</v>
      </c>
      <c r="CS1528" s="213" t="s">
        <v>881</v>
      </c>
      <c r="CT1528" s="213" t="s">
        <v>4302</v>
      </c>
      <c r="CU1528" s="213" t="s">
        <v>883</v>
      </c>
      <c r="CV1528" s="214" t="s">
        <v>884</v>
      </c>
      <c r="CX1528" s="212">
        <v>1</v>
      </c>
    </row>
    <row r="1529" spans="91:102" ht="21" customHeight="1">
      <c r="CM1529" s="210"/>
      <c r="CN1529" s="213" t="s">
        <v>4453</v>
      </c>
      <c r="CO1529" s="213" t="s">
        <v>888</v>
      </c>
      <c r="CP1529" s="213" t="s">
        <v>879</v>
      </c>
      <c r="CQ1529" s="213" t="s">
        <v>4454</v>
      </c>
      <c r="CR1529" s="213" t="s">
        <v>4454</v>
      </c>
      <c r="CS1529" s="213" t="s">
        <v>4287</v>
      </c>
      <c r="CT1529" s="213" t="s">
        <v>4288</v>
      </c>
      <c r="CU1529" s="213" t="s">
        <v>1150</v>
      </c>
      <c r="CV1529" s="214" t="s">
        <v>4289</v>
      </c>
      <c r="CX1529" s="212">
        <v>1</v>
      </c>
    </row>
    <row r="1530" spans="91:102" ht="21" customHeight="1">
      <c r="CM1530" s="210"/>
      <c r="CN1530" s="213" t="s">
        <v>4455</v>
      </c>
      <c r="CO1530" s="213" t="s">
        <v>888</v>
      </c>
      <c r="CP1530" s="213" t="s">
        <v>879</v>
      </c>
      <c r="CQ1530" s="213" t="s">
        <v>4456</v>
      </c>
      <c r="CR1530" s="213" t="s">
        <v>4456</v>
      </c>
      <c r="CS1530" s="213" t="s">
        <v>4287</v>
      </c>
      <c r="CT1530" s="213" t="s">
        <v>4288</v>
      </c>
      <c r="CU1530" s="213" t="s">
        <v>1150</v>
      </c>
      <c r="CV1530" s="214" t="s">
        <v>4289</v>
      </c>
      <c r="CX1530" s="212">
        <v>1</v>
      </c>
    </row>
    <row r="1531" spans="91:102" ht="21" customHeight="1">
      <c r="CM1531" s="210"/>
      <c r="CN1531" s="213" t="s">
        <v>4457</v>
      </c>
      <c r="CO1531" s="213" t="s">
        <v>888</v>
      </c>
      <c r="CP1531" s="213" t="s">
        <v>879</v>
      </c>
      <c r="CQ1531" s="213" t="s">
        <v>4458</v>
      </c>
      <c r="CR1531" s="213" t="s">
        <v>4459</v>
      </c>
      <c r="CS1531" s="213" t="s">
        <v>881</v>
      </c>
      <c r="CT1531" s="213" t="s">
        <v>4302</v>
      </c>
      <c r="CU1531" s="213" t="s">
        <v>883</v>
      </c>
      <c r="CV1531" s="214" t="s">
        <v>884</v>
      </c>
      <c r="CX1531" s="212">
        <v>1</v>
      </c>
    </row>
    <row r="1532" spans="91:102" ht="21" customHeight="1">
      <c r="CM1532" s="210"/>
      <c r="CN1532" s="213" t="s">
        <v>4460</v>
      </c>
      <c r="CO1532" s="213" t="s">
        <v>888</v>
      </c>
      <c r="CP1532" s="213" t="s">
        <v>879</v>
      </c>
      <c r="CQ1532" s="213" t="s">
        <v>4461</v>
      </c>
      <c r="CR1532" s="213" t="s">
        <v>4461</v>
      </c>
      <c r="CS1532" s="213" t="s">
        <v>881</v>
      </c>
      <c r="CT1532" s="213" t="s">
        <v>4302</v>
      </c>
      <c r="CU1532" s="213" t="s">
        <v>883</v>
      </c>
      <c r="CV1532" s="214" t="s">
        <v>884</v>
      </c>
      <c r="CX1532" s="212">
        <v>1</v>
      </c>
    </row>
    <row r="1533" spans="91:102" ht="21" customHeight="1">
      <c r="CM1533" s="210"/>
      <c r="CN1533" s="213" t="s">
        <v>4462</v>
      </c>
      <c r="CO1533" s="213" t="s">
        <v>888</v>
      </c>
      <c r="CP1533" s="213" t="s">
        <v>879</v>
      </c>
      <c r="CQ1533" s="213" t="s">
        <v>4463</v>
      </c>
      <c r="CR1533" s="213" t="s">
        <v>4463</v>
      </c>
      <c r="CS1533" s="213" t="s">
        <v>4287</v>
      </c>
      <c r="CT1533" s="213" t="s">
        <v>4288</v>
      </c>
      <c r="CU1533" s="213" t="s">
        <v>1150</v>
      </c>
      <c r="CV1533" s="214" t="s">
        <v>4289</v>
      </c>
      <c r="CX1533" s="212">
        <v>1</v>
      </c>
    </row>
    <row r="1534" spans="91:102" ht="21" customHeight="1">
      <c r="CM1534" s="210"/>
      <c r="CN1534" s="213" t="s">
        <v>4464</v>
      </c>
      <c r="CO1534" s="213" t="s">
        <v>888</v>
      </c>
      <c r="CP1534" s="213" t="s">
        <v>879</v>
      </c>
      <c r="CQ1534" s="213" t="s">
        <v>4465</v>
      </c>
      <c r="CR1534" s="213" t="s">
        <v>4465</v>
      </c>
      <c r="CS1534" s="213" t="s">
        <v>881</v>
      </c>
      <c r="CT1534" s="213" t="s">
        <v>4302</v>
      </c>
      <c r="CU1534" s="213" t="s">
        <v>883</v>
      </c>
      <c r="CV1534" s="214" t="s">
        <v>884</v>
      </c>
      <c r="CX1534" s="212">
        <v>1</v>
      </c>
    </row>
    <row r="1535" spans="91:102" ht="21" customHeight="1">
      <c r="CM1535" s="210"/>
      <c r="CN1535" s="213" t="s">
        <v>4466</v>
      </c>
      <c r="CO1535" s="213" t="s">
        <v>888</v>
      </c>
      <c r="CP1535" s="213" t="s">
        <v>879</v>
      </c>
      <c r="CQ1535" s="213" t="s">
        <v>4467</v>
      </c>
      <c r="CR1535" s="213" t="s">
        <v>4467</v>
      </c>
      <c r="CS1535" s="213" t="s">
        <v>971</v>
      </c>
      <c r="CT1535" s="213" t="s">
        <v>972</v>
      </c>
      <c r="CU1535" s="213" t="s">
        <v>883</v>
      </c>
      <c r="CV1535" s="214" t="s">
        <v>973</v>
      </c>
      <c r="CX1535" s="212">
        <v>1</v>
      </c>
    </row>
    <row r="1536" spans="91:102" ht="21" customHeight="1">
      <c r="CM1536" s="210"/>
      <c r="CN1536" s="213" t="s">
        <v>4468</v>
      </c>
      <c r="CO1536" s="213" t="s">
        <v>888</v>
      </c>
      <c r="CP1536" s="213" t="s">
        <v>879</v>
      </c>
      <c r="CQ1536" s="213" t="s">
        <v>4469</v>
      </c>
      <c r="CR1536" s="213" t="s">
        <v>4469</v>
      </c>
      <c r="CS1536" s="213" t="s">
        <v>881</v>
      </c>
      <c r="CT1536" s="213" t="s">
        <v>4302</v>
      </c>
      <c r="CU1536" s="213" t="s">
        <v>883</v>
      </c>
      <c r="CV1536" s="214" t="s">
        <v>884</v>
      </c>
      <c r="CX1536" s="212">
        <v>1</v>
      </c>
    </row>
    <row r="1537" spans="91:102" ht="21" customHeight="1">
      <c r="CM1537" s="210"/>
      <c r="CN1537" s="213" t="s">
        <v>4470</v>
      </c>
      <c r="CO1537" s="213" t="s">
        <v>888</v>
      </c>
      <c r="CP1537" s="213" t="s">
        <v>879</v>
      </c>
      <c r="CQ1537" s="213" t="s">
        <v>4471</v>
      </c>
      <c r="CR1537" s="213" t="s">
        <v>4471</v>
      </c>
      <c r="CS1537" s="213" t="s">
        <v>971</v>
      </c>
      <c r="CT1537" s="213" t="s">
        <v>972</v>
      </c>
      <c r="CU1537" s="213" t="s">
        <v>883</v>
      </c>
      <c r="CV1537" s="214" t="s">
        <v>973</v>
      </c>
      <c r="CX1537" s="212">
        <v>1</v>
      </c>
    </row>
    <row r="1538" spans="91:102" ht="21" customHeight="1">
      <c r="CM1538" s="210"/>
      <c r="CN1538" s="213" t="s">
        <v>4472</v>
      </c>
      <c r="CO1538" s="213" t="s">
        <v>888</v>
      </c>
      <c r="CP1538" s="213" t="s">
        <v>879</v>
      </c>
      <c r="CQ1538" s="213" t="s">
        <v>4473</v>
      </c>
      <c r="CR1538" s="213" t="s">
        <v>4474</v>
      </c>
      <c r="CS1538" s="213" t="s">
        <v>881</v>
      </c>
      <c r="CT1538" s="213" t="s">
        <v>4302</v>
      </c>
      <c r="CU1538" s="213" t="s">
        <v>883</v>
      </c>
      <c r="CV1538" s="214" t="s">
        <v>884</v>
      </c>
      <c r="CX1538" s="212">
        <v>1</v>
      </c>
    </row>
    <row r="1539" spans="91:102" ht="21" customHeight="1">
      <c r="CM1539" s="210"/>
      <c r="CN1539" s="213" t="s">
        <v>4475</v>
      </c>
      <c r="CO1539" s="213" t="s">
        <v>888</v>
      </c>
      <c r="CP1539" s="213" t="s">
        <v>879</v>
      </c>
      <c r="CQ1539" s="213" t="s">
        <v>4476</v>
      </c>
      <c r="CR1539" s="213" t="s">
        <v>4477</v>
      </c>
      <c r="CS1539" s="213" t="s">
        <v>4287</v>
      </c>
      <c r="CT1539" s="213" t="s">
        <v>4288</v>
      </c>
      <c r="CU1539" s="213" t="s">
        <v>1150</v>
      </c>
      <c r="CV1539" s="214" t="s">
        <v>4289</v>
      </c>
      <c r="CX1539" s="212">
        <v>1</v>
      </c>
    </row>
    <row r="1540" spans="91:102" ht="21" customHeight="1">
      <c r="CM1540" s="210"/>
      <c r="CN1540" s="213" t="s">
        <v>4478</v>
      </c>
      <c r="CO1540" s="213" t="s">
        <v>888</v>
      </c>
      <c r="CP1540" s="213" t="s">
        <v>879</v>
      </c>
      <c r="CQ1540" s="213" t="s">
        <v>4479</v>
      </c>
      <c r="CR1540" s="213" t="s">
        <v>4480</v>
      </c>
      <c r="CS1540" s="213" t="s">
        <v>4287</v>
      </c>
      <c r="CT1540" s="213" t="s">
        <v>4288</v>
      </c>
      <c r="CU1540" s="213" t="s">
        <v>1150</v>
      </c>
      <c r="CV1540" s="214" t="s">
        <v>4289</v>
      </c>
      <c r="CX1540" s="212">
        <v>1</v>
      </c>
    </row>
    <row r="1541" spans="91:102" ht="21" customHeight="1">
      <c r="CM1541" s="210"/>
      <c r="CN1541" s="213" t="s">
        <v>4481</v>
      </c>
      <c r="CO1541" s="213" t="s">
        <v>888</v>
      </c>
      <c r="CP1541" s="213" t="s">
        <v>879</v>
      </c>
      <c r="CQ1541" s="213" t="s">
        <v>4482</v>
      </c>
      <c r="CR1541" s="213" t="s">
        <v>4483</v>
      </c>
      <c r="CS1541" s="213" t="s">
        <v>971</v>
      </c>
      <c r="CT1541" s="213" t="s">
        <v>972</v>
      </c>
      <c r="CU1541" s="213" t="s">
        <v>883</v>
      </c>
      <c r="CV1541" s="214" t="s">
        <v>973</v>
      </c>
      <c r="CX1541" s="212">
        <v>1</v>
      </c>
    </row>
    <row r="1542" spans="91:102" ht="21" customHeight="1">
      <c r="CM1542" s="210"/>
      <c r="CN1542" s="213" t="s">
        <v>4484</v>
      </c>
      <c r="CO1542" s="213" t="s">
        <v>888</v>
      </c>
      <c r="CP1542" s="213" t="s">
        <v>879</v>
      </c>
      <c r="CQ1542" s="213" t="s">
        <v>4485</v>
      </c>
      <c r="CR1542" s="213" t="s">
        <v>4486</v>
      </c>
      <c r="CS1542" s="213" t="s">
        <v>4287</v>
      </c>
      <c r="CT1542" s="213" t="s">
        <v>4288</v>
      </c>
      <c r="CU1542" s="213" t="s">
        <v>1150</v>
      </c>
      <c r="CV1542" s="214" t="s">
        <v>4289</v>
      </c>
      <c r="CX1542" s="212">
        <v>1</v>
      </c>
    </row>
    <row r="1543" spans="91:102" ht="21" customHeight="1">
      <c r="CM1543" s="210"/>
      <c r="CN1543" s="213" t="s">
        <v>4487</v>
      </c>
      <c r="CO1543" s="213" t="s">
        <v>888</v>
      </c>
      <c r="CP1543" s="213" t="s">
        <v>879</v>
      </c>
      <c r="CQ1543" s="213" t="s">
        <v>4488</v>
      </c>
      <c r="CR1543" s="213" t="s">
        <v>4489</v>
      </c>
      <c r="CS1543" s="213" t="s">
        <v>881</v>
      </c>
      <c r="CT1543" s="213" t="s">
        <v>4302</v>
      </c>
      <c r="CU1543" s="213" t="s">
        <v>883</v>
      </c>
      <c r="CV1543" s="214" t="s">
        <v>884</v>
      </c>
      <c r="CX1543" s="212">
        <v>1</v>
      </c>
    </row>
    <row r="1544" spans="91:102" ht="21" customHeight="1">
      <c r="CM1544" s="210"/>
      <c r="CN1544" s="213" t="s">
        <v>4490</v>
      </c>
      <c r="CO1544" s="213" t="s">
        <v>888</v>
      </c>
      <c r="CP1544" s="213" t="s">
        <v>879</v>
      </c>
      <c r="CQ1544" s="213" t="s">
        <v>4491</v>
      </c>
      <c r="CR1544" s="213" t="s">
        <v>4492</v>
      </c>
      <c r="CS1544" s="213" t="s">
        <v>4287</v>
      </c>
      <c r="CT1544" s="213" t="s">
        <v>4288</v>
      </c>
      <c r="CU1544" s="213" t="s">
        <v>1150</v>
      </c>
      <c r="CV1544" s="214" t="s">
        <v>4289</v>
      </c>
      <c r="CX1544" s="212">
        <v>1</v>
      </c>
    </row>
    <row r="1545" spans="91:102" ht="21" customHeight="1">
      <c r="CM1545" s="210"/>
      <c r="CN1545" s="213" t="s">
        <v>4493</v>
      </c>
      <c r="CO1545" s="213" t="s">
        <v>888</v>
      </c>
      <c r="CP1545" s="213" t="s">
        <v>879</v>
      </c>
      <c r="CQ1545" s="213" t="s">
        <v>4494</v>
      </c>
      <c r="CR1545" s="213" t="s">
        <v>4495</v>
      </c>
      <c r="CS1545" s="213" t="s">
        <v>4287</v>
      </c>
      <c r="CT1545" s="213" t="s">
        <v>4288</v>
      </c>
      <c r="CU1545" s="213" t="s">
        <v>1150</v>
      </c>
      <c r="CV1545" s="214" t="s">
        <v>4289</v>
      </c>
      <c r="CX1545" s="212">
        <v>1</v>
      </c>
    </row>
    <row r="1546" spans="91:102" ht="21" customHeight="1">
      <c r="CM1546" s="210"/>
      <c r="CN1546" s="213" t="s">
        <v>4496</v>
      </c>
      <c r="CO1546" s="213" t="s">
        <v>888</v>
      </c>
      <c r="CP1546" s="213" t="s">
        <v>879</v>
      </c>
      <c r="CQ1546" s="213" t="s">
        <v>4497</v>
      </c>
      <c r="CR1546" s="213" t="s">
        <v>4498</v>
      </c>
      <c r="CS1546" s="213" t="s">
        <v>881</v>
      </c>
      <c r="CT1546" s="213" t="s">
        <v>4302</v>
      </c>
      <c r="CU1546" s="213" t="s">
        <v>883</v>
      </c>
      <c r="CV1546" s="214" t="s">
        <v>884</v>
      </c>
      <c r="CX1546" s="212">
        <v>1</v>
      </c>
    </row>
    <row r="1547" spans="91:102" ht="21" customHeight="1">
      <c r="CM1547" s="210"/>
      <c r="CN1547" s="213" t="s">
        <v>4499</v>
      </c>
      <c r="CO1547" s="213" t="s">
        <v>888</v>
      </c>
      <c r="CP1547" s="213" t="s">
        <v>879</v>
      </c>
      <c r="CQ1547" s="213" t="s">
        <v>2147</v>
      </c>
      <c r="CR1547" s="213" t="s">
        <v>2148</v>
      </c>
      <c r="CS1547" s="213" t="s">
        <v>881</v>
      </c>
      <c r="CT1547" s="213" t="s">
        <v>4302</v>
      </c>
      <c r="CU1547" s="213" t="s">
        <v>883</v>
      </c>
      <c r="CV1547" s="214" t="s">
        <v>884</v>
      </c>
      <c r="CX1547" s="212">
        <v>1</v>
      </c>
    </row>
    <row r="1548" spans="91:102" ht="21" customHeight="1">
      <c r="CM1548" s="210"/>
      <c r="CN1548" s="213" t="s">
        <v>4500</v>
      </c>
      <c r="CO1548" s="213" t="s">
        <v>888</v>
      </c>
      <c r="CP1548" s="213" t="s">
        <v>879</v>
      </c>
      <c r="CQ1548" s="213" t="s">
        <v>4501</v>
      </c>
      <c r="CR1548" s="213" t="s">
        <v>4502</v>
      </c>
      <c r="CS1548" s="213" t="s">
        <v>881</v>
      </c>
      <c r="CT1548" s="213" t="s">
        <v>4302</v>
      </c>
      <c r="CU1548" s="213" t="s">
        <v>883</v>
      </c>
      <c r="CV1548" s="214" t="s">
        <v>884</v>
      </c>
      <c r="CX1548" s="212">
        <v>1</v>
      </c>
    </row>
    <row r="1549" spans="91:102" ht="21" customHeight="1">
      <c r="CM1549" s="210"/>
      <c r="CN1549" s="213" t="s">
        <v>4503</v>
      </c>
      <c r="CO1549" s="213" t="s">
        <v>888</v>
      </c>
      <c r="CP1549" s="213" t="s">
        <v>879</v>
      </c>
      <c r="CQ1549" s="213" t="s">
        <v>4504</v>
      </c>
      <c r="CR1549" s="213" t="s">
        <v>4504</v>
      </c>
      <c r="CS1549" s="213" t="s">
        <v>4287</v>
      </c>
      <c r="CT1549" s="213" t="s">
        <v>4288</v>
      </c>
      <c r="CU1549" s="213" t="s">
        <v>1150</v>
      </c>
      <c r="CV1549" s="214" t="s">
        <v>4289</v>
      </c>
      <c r="CX1549" s="212">
        <v>1</v>
      </c>
    </row>
    <row r="1550" spans="91:102" ht="21" customHeight="1">
      <c r="CM1550" s="210"/>
      <c r="CN1550" s="213" t="s">
        <v>4505</v>
      </c>
      <c r="CO1550" s="213" t="s">
        <v>888</v>
      </c>
      <c r="CP1550" s="213" t="s">
        <v>879</v>
      </c>
      <c r="CQ1550" s="213" t="s">
        <v>4506</v>
      </c>
      <c r="CR1550" s="213" t="s">
        <v>4506</v>
      </c>
      <c r="CS1550" s="213" t="s">
        <v>4287</v>
      </c>
      <c r="CT1550" s="213" t="s">
        <v>4288</v>
      </c>
      <c r="CU1550" s="213" t="s">
        <v>1150</v>
      </c>
      <c r="CV1550" s="214" t="s">
        <v>4289</v>
      </c>
      <c r="CX1550" s="212">
        <v>1</v>
      </c>
    </row>
    <row r="1551" spans="91:102" ht="21" customHeight="1">
      <c r="CM1551" s="210"/>
      <c r="CN1551" s="213" t="s">
        <v>4507</v>
      </c>
      <c r="CO1551" s="213" t="s">
        <v>888</v>
      </c>
      <c r="CP1551" s="213" t="s">
        <v>879</v>
      </c>
      <c r="CQ1551" s="213" t="s">
        <v>4508</v>
      </c>
      <c r="CR1551" s="213" t="s">
        <v>4508</v>
      </c>
      <c r="CS1551" s="213" t="s">
        <v>4287</v>
      </c>
      <c r="CT1551" s="213" t="s">
        <v>4288</v>
      </c>
      <c r="CU1551" s="213" t="s">
        <v>1150</v>
      </c>
      <c r="CV1551" s="214" t="s">
        <v>4289</v>
      </c>
      <c r="CX1551" s="212">
        <v>1</v>
      </c>
    </row>
    <row r="1552" spans="91:102" ht="21" customHeight="1">
      <c r="CM1552" s="210"/>
      <c r="CN1552" s="213" t="s">
        <v>4509</v>
      </c>
      <c r="CO1552" s="213" t="s">
        <v>888</v>
      </c>
      <c r="CP1552" s="213" t="s">
        <v>879</v>
      </c>
      <c r="CQ1552" s="213" t="s">
        <v>4510</v>
      </c>
      <c r="CR1552" s="213" t="s">
        <v>4510</v>
      </c>
      <c r="CS1552" s="213" t="s">
        <v>4287</v>
      </c>
      <c r="CT1552" s="213" t="s">
        <v>4288</v>
      </c>
      <c r="CU1552" s="213" t="s">
        <v>1150</v>
      </c>
      <c r="CV1552" s="214" t="s">
        <v>4289</v>
      </c>
      <c r="CX1552" s="212">
        <v>1</v>
      </c>
    </row>
    <row r="1553" spans="91:102" ht="21" customHeight="1">
      <c r="CM1553" s="210"/>
      <c r="CN1553" s="213" t="s">
        <v>4511</v>
      </c>
      <c r="CO1553" s="213" t="s">
        <v>888</v>
      </c>
      <c r="CP1553" s="213" t="s">
        <v>879</v>
      </c>
      <c r="CQ1553" s="213" t="s">
        <v>4512</v>
      </c>
      <c r="CR1553" s="213" t="s">
        <v>4512</v>
      </c>
      <c r="CS1553" s="213" t="s">
        <v>4287</v>
      </c>
      <c r="CT1553" s="213" t="s">
        <v>4288</v>
      </c>
      <c r="CU1553" s="213" t="s">
        <v>1150</v>
      </c>
      <c r="CV1553" s="214" t="s">
        <v>4289</v>
      </c>
      <c r="CX1553" s="212">
        <v>1</v>
      </c>
    </row>
    <row r="1554" spans="91:102" ht="21" customHeight="1">
      <c r="CM1554" s="210"/>
      <c r="CN1554" s="213" t="s">
        <v>4513</v>
      </c>
      <c r="CO1554" s="213" t="s">
        <v>888</v>
      </c>
      <c r="CP1554" s="213" t="s">
        <v>879</v>
      </c>
      <c r="CQ1554" s="213" t="s">
        <v>4514</v>
      </c>
      <c r="CR1554" s="213" t="s">
        <v>4514</v>
      </c>
      <c r="CS1554" s="213" t="s">
        <v>881</v>
      </c>
      <c r="CT1554" s="213" t="s">
        <v>4302</v>
      </c>
      <c r="CU1554" s="213" t="s">
        <v>883</v>
      </c>
      <c r="CV1554" s="214" t="s">
        <v>884</v>
      </c>
      <c r="CX1554" s="212">
        <v>1</v>
      </c>
    </row>
    <row r="1555" spans="91:102" ht="21" customHeight="1">
      <c r="CM1555" s="210"/>
      <c r="CN1555" s="213" t="s">
        <v>4515</v>
      </c>
      <c r="CO1555" s="213" t="s">
        <v>888</v>
      </c>
      <c r="CP1555" s="213" t="s">
        <v>879</v>
      </c>
      <c r="CQ1555" s="213" t="s">
        <v>4516</v>
      </c>
      <c r="CR1555" s="213" t="s">
        <v>4516</v>
      </c>
      <c r="CS1555" s="213" t="s">
        <v>881</v>
      </c>
      <c r="CT1555" s="213" t="s">
        <v>4302</v>
      </c>
      <c r="CU1555" s="213" t="s">
        <v>883</v>
      </c>
      <c r="CV1555" s="214" t="s">
        <v>884</v>
      </c>
      <c r="CX1555" s="212">
        <v>1</v>
      </c>
    </row>
    <row r="1556" spans="91:102" ht="21" customHeight="1">
      <c r="CM1556" s="210"/>
      <c r="CN1556" s="213" t="s">
        <v>4517</v>
      </c>
      <c r="CO1556" s="213" t="s">
        <v>888</v>
      </c>
      <c r="CP1556" s="213" t="s">
        <v>879</v>
      </c>
      <c r="CQ1556" s="213" t="s">
        <v>4518</v>
      </c>
      <c r="CR1556" s="213" t="s">
        <v>4518</v>
      </c>
      <c r="CS1556" s="213" t="s">
        <v>881</v>
      </c>
      <c r="CT1556" s="213" t="s">
        <v>4302</v>
      </c>
      <c r="CU1556" s="213" t="s">
        <v>883</v>
      </c>
      <c r="CV1556" s="214" t="s">
        <v>884</v>
      </c>
      <c r="CX1556" s="212">
        <v>1</v>
      </c>
    </row>
    <row r="1557" spans="91:102" ht="21" customHeight="1">
      <c r="CM1557" s="210"/>
      <c r="CN1557" s="213" t="s">
        <v>4519</v>
      </c>
      <c r="CO1557" s="213" t="s">
        <v>888</v>
      </c>
      <c r="CP1557" s="213" t="s">
        <v>879</v>
      </c>
      <c r="CQ1557" s="213" t="s">
        <v>4520</v>
      </c>
      <c r="CR1557" s="213" t="s">
        <v>4521</v>
      </c>
      <c r="CS1557" s="213" t="s">
        <v>4287</v>
      </c>
      <c r="CT1557" s="213" t="s">
        <v>4288</v>
      </c>
      <c r="CU1557" s="213" t="s">
        <v>1150</v>
      </c>
      <c r="CV1557" s="214" t="s">
        <v>4289</v>
      </c>
      <c r="CX1557" s="212">
        <v>1</v>
      </c>
    </row>
    <row r="1558" spans="91:102" ht="21" customHeight="1">
      <c r="CM1558" s="210"/>
      <c r="CN1558" s="213" t="s">
        <v>4522</v>
      </c>
      <c r="CO1558" s="213" t="s">
        <v>888</v>
      </c>
      <c r="CP1558" s="213" t="s">
        <v>879</v>
      </c>
      <c r="CQ1558" s="213" t="s">
        <v>4523</v>
      </c>
      <c r="CR1558" s="213" t="s">
        <v>4523</v>
      </c>
      <c r="CS1558" s="213" t="s">
        <v>4287</v>
      </c>
      <c r="CT1558" s="213" t="s">
        <v>4288</v>
      </c>
      <c r="CU1558" s="213" t="s">
        <v>1150</v>
      </c>
      <c r="CV1558" s="214" t="s">
        <v>4289</v>
      </c>
      <c r="CX1558" s="212">
        <v>1</v>
      </c>
    </row>
    <row r="1559" spans="91:102" ht="21" customHeight="1">
      <c r="CM1559" s="210"/>
      <c r="CN1559" s="213" t="s">
        <v>4524</v>
      </c>
      <c r="CO1559" s="213" t="s">
        <v>888</v>
      </c>
      <c r="CP1559" s="213" t="s">
        <v>879</v>
      </c>
      <c r="CQ1559" s="213" t="s">
        <v>4525</v>
      </c>
      <c r="CR1559" s="213" t="s">
        <v>4526</v>
      </c>
      <c r="CS1559" s="213" t="s">
        <v>4287</v>
      </c>
      <c r="CT1559" s="213" t="s">
        <v>4288</v>
      </c>
      <c r="CU1559" s="213" t="s">
        <v>1150</v>
      </c>
      <c r="CV1559" s="214" t="s">
        <v>4289</v>
      </c>
      <c r="CX1559" s="212">
        <v>1</v>
      </c>
    </row>
    <row r="1560" spans="91:102" ht="21" customHeight="1">
      <c r="CM1560" s="210"/>
      <c r="CN1560" s="213" t="s">
        <v>4527</v>
      </c>
      <c r="CO1560" s="213" t="s">
        <v>888</v>
      </c>
      <c r="CP1560" s="213" t="s">
        <v>879</v>
      </c>
      <c r="CQ1560" s="213" t="s">
        <v>4528</v>
      </c>
      <c r="CR1560" s="213" t="s">
        <v>4529</v>
      </c>
      <c r="CS1560" s="213" t="s">
        <v>4287</v>
      </c>
      <c r="CT1560" s="213" t="s">
        <v>4288</v>
      </c>
      <c r="CU1560" s="213" t="s">
        <v>1150</v>
      </c>
      <c r="CV1560" s="214" t="s">
        <v>4289</v>
      </c>
      <c r="CX1560" s="212">
        <v>1</v>
      </c>
    </row>
    <row r="1561" spans="91:102" ht="21" customHeight="1">
      <c r="CM1561" s="210"/>
      <c r="CN1561" s="213" t="s">
        <v>4530</v>
      </c>
      <c r="CO1561" s="213" t="s">
        <v>888</v>
      </c>
      <c r="CP1561" s="213" t="s">
        <v>879</v>
      </c>
      <c r="CQ1561" s="213" t="s">
        <v>4531</v>
      </c>
      <c r="CR1561" s="213" t="s">
        <v>4531</v>
      </c>
      <c r="CS1561" s="213" t="s">
        <v>4287</v>
      </c>
      <c r="CT1561" s="213" t="s">
        <v>4288</v>
      </c>
      <c r="CU1561" s="213" t="s">
        <v>1150</v>
      </c>
      <c r="CV1561" s="214" t="s">
        <v>4289</v>
      </c>
      <c r="CX1561" s="212">
        <v>1</v>
      </c>
    </row>
    <row r="1562" spans="91:102" ht="21" customHeight="1">
      <c r="CM1562" s="210"/>
      <c r="CN1562" s="213" t="s">
        <v>4532</v>
      </c>
      <c r="CO1562" s="213" t="s">
        <v>888</v>
      </c>
      <c r="CP1562" s="213" t="s">
        <v>879</v>
      </c>
      <c r="CQ1562" s="213" t="s">
        <v>4533</v>
      </c>
      <c r="CR1562" s="213" t="s">
        <v>4533</v>
      </c>
      <c r="CS1562" s="213" t="s">
        <v>881</v>
      </c>
      <c r="CT1562" s="213" t="s">
        <v>4302</v>
      </c>
      <c r="CU1562" s="213" t="s">
        <v>883</v>
      </c>
      <c r="CV1562" s="214" t="s">
        <v>884</v>
      </c>
      <c r="CX1562" s="212">
        <v>1</v>
      </c>
    </row>
    <row r="1563" spans="91:102" ht="21" customHeight="1">
      <c r="CM1563" s="210"/>
      <c r="CN1563" s="213" t="s">
        <v>4534</v>
      </c>
      <c r="CO1563" s="213" t="s">
        <v>888</v>
      </c>
      <c r="CP1563" s="213" t="s">
        <v>879</v>
      </c>
      <c r="CQ1563" s="213" t="s">
        <v>4535</v>
      </c>
      <c r="CR1563" s="213" t="s">
        <v>4535</v>
      </c>
      <c r="CS1563" s="213" t="s">
        <v>881</v>
      </c>
      <c r="CT1563" s="213" t="s">
        <v>4302</v>
      </c>
      <c r="CU1563" s="213" t="s">
        <v>883</v>
      </c>
      <c r="CV1563" s="214" t="s">
        <v>884</v>
      </c>
      <c r="CX1563" s="212">
        <v>1</v>
      </c>
    </row>
    <row r="1564" spans="91:102" ht="21" customHeight="1">
      <c r="CM1564" s="210"/>
      <c r="CN1564" s="213" t="s">
        <v>4536</v>
      </c>
      <c r="CO1564" s="213" t="s">
        <v>888</v>
      </c>
      <c r="CP1564" s="213" t="s">
        <v>879</v>
      </c>
      <c r="CQ1564" s="213" t="s">
        <v>4537</v>
      </c>
      <c r="CR1564" s="213" t="s">
        <v>4537</v>
      </c>
      <c r="CS1564" s="213" t="s">
        <v>4287</v>
      </c>
      <c r="CT1564" s="213" t="s">
        <v>4288</v>
      </c>
      <c r="CU1564" s="213" t="s">
        <v>1150</v>
      </c>
      <c r="CV1564" s="214" t="s">
        <v>4289</v>
      </c>
      <c r="CX1564" s="212">
        <v>1</v>
      </c>
    </row>
    <row r="1565" spans="91:102" ht="21" customHeight="1">
      <c r="CM1565" s="210"/>
      <c r="CN1565" s="213" t="s">
        <v>4538</v>
      </c>
      <c r="CO1565" s="213" t="s">
        <v>888</v>
      </c>
      <c r="CP1565" s="213" t="s">
        <v>879</v>
      </c>
      <c r="CQ1565" s="213" t="s">
        <v>4539</v>
      </c>
      <c r="CR1565" s="213" t="s">
        <v>4539</v>
      </c>
      <c r="CS1565" s="213" t="s">
        <v>881</v>
      </c>
      <c r="CT1565" s="213" t="s">
        <v>4302</v>
      </c>
      <c r="CU1565" s="213" t="s">
        <v>883</v>
      </c>
      <c r="CV1565" s="214" t="s">
        <v>884</v>
      </c>
      <c r="CX1565" s="212">
        <v>1</v>
      </c>
    </row>
    <row r="1566" spans="91:102" ht="21" customHeight="1">
      <c r="CM1566" s="210"/>
      <c r="CN1566" s="213" t="s">
        <v>4540</v>
      </c>
      <c r="CO1566" s="213" t="s">
        <v>888</v>
      </c>
      <c r="CP1566" s="213" t="s">
        <v>879</v>
      </c>
      <c r="CQ1566" s="213" t="s">
        <v>4541</v>
      </c>
      <c r="CR1566" s="213" t="s">
        <v>4541</v>
      </c>
      <c r="CS1566" s="213" t="s">
        <v>881</v>
      </c>
      <c r="CT1566" s="213" t="s">
        <v>4302</v>
      </c>
      <c r="CU1566" s="213" t="s">
        <v>883</v>
      </c>
      <c r="CV1566" s="214" t="s">
        <v>884</v>
      </c>
      <c r="CX1566" s="212">
        <v>1</v>
      </c>
    </row>
    <row r="1567" spans="91:102" ht="21" customHeight="1">
      <c r="CM1567" s="210"/>
      <c r="CN1567" s="213" t="s">
        <v>4542</v>
      </c>
      <c r="CO1567" s="213" t="s">
        <v>888</v>
      </c>
      <c r="CP1567" s="213" t="s">
        <v>879</v>
      </c>
      <c r="CQ1567" s="213" t="s">
        <v>4543</v>
      </c>
      <c r="CR1567" s="213" t="s">
        <v>4544</v>
      </c>
      <c r="CS1567" s="213" t="s">
        <v>4287</v>
      </c>
      <c r="CT1567" s="213" t="s">
        <v>4288</v>
      </c>
      <c r="CU1567" s="213" t="s">
        <v>1150</v>
      </c>
      <c r="CV1567" s="214" t="s">
        <v>4289</v>
      </c>
      <c r="CX1567" s="212">
        <v>1</v>
      </c>
    </row>
    <row r="1568" spans="91:102" ht="21" customHeight="1">
      <c r="CM1568" s="210"/>
      <c r="CN1568" s="213" t="s">
        <v>4545</v>
      </c>
      <c r="CO1568" s="213" t="s">
        <v>888</v>
      </c>
      <c r="CP1568" s="213" t="s">
        <v>879</v>
      </c>
      <c r="CQ1568" s="213" t="s">
        <v>4546</v>
      </c>
      <c r="CR1568" s="213" t="s">
        <v>4546</v>
      </c>
      <c r="CS1568" s="213" t="s">
        <v>4287</v>
      </c>
      <c r="CT1568" s="213" t="s">
        <v>4288</v>
      </c>
      <c r="CU1568" s="213" t="s">
        <v>1150</v>
      </c>
      <c r="CV1568" s="214" t="s">
        <v>4289</v>
      </c>
      <c r="CX1568" s="212">
        <v>1</v>
      </c>
    </row>
    <row r="1569" spans="91:102" ht="21" customHeight="1">
      <c r="CM1569" s="210"/>
      <c r="CN1569" s="213" t="s">
        <v>4547</v>
      </c>
      <c r="CO1569" s="213" t="s">
        <v>888</v>
      </c>
      <c r="CP1569" s="213" t="s">
        <v>879</v>
      </c>
      <c r="CQ1569" s="213" t="s">
        <v>4548</v>
      </c>
      <c r="CR1569" s="213" t="s">
        <v>4548</v>
      </c>
      <c r="CS1569" s="213" t="s">
        <v>881</v>
      </c>
      <c r="CT1569" s="213" t="s">
        <v>4302</v>
      </c>
      <c r="CU1569" s="213" t="s">
        <v>883</v>
      </c>
      <c r="CV1569" s="214" t="s">
        <v>884</v>
      </c>
      <c r="CX1569" s="212">
        <v>1</v>
      </c>
    </row>
    <row r="1570" spans="91:102" ht="21" customHeight="1">
      <c r="CM1570" s="210"/>
      <c r="CN1570" s="213" t="s">
        <v>4549</v>
      </c>
      <c r="CO1570" s="213" t="s">
        <v>888</v>
      </c>
      <c r="CP1570" s="213" t="s">
        <v>879</v>
      </c>
      <c r="CQ1570" s="213" t="s">
        <v>4550</v>
      </c>
      <c r="CR1570" s="213" t="s">
        <v>4551</v>
      </c>
      <c r="CS1570" s="213" t="s">
        <v>4287</v>
      </c>
      <c r="CT1570" s="213" t="s">
        <v>4288</v>
      </c>
      <c r="CU1570" s="213" t="s">
        <v>1150</v>
      </c>
      <c r="CV1570" s="214" t="s">
        <v>4289</v>
      </c>
      <c r="CX1570" s="212">
        <v>1</v>
      </c>
    </row>
    <row r="1571" spans="91:102" ht="21" customHeight="1">
      <c r="CM1571" s="210"/>
      <c r="CN1571" s="213" t="s">
        <v>4552</v>
      </c>
      <c r="CO1571" s="213" t="s">
        <v>888</v>
      </c>
      <c r="CP1571" s="213" t="s">
        <v>879</v>
      </c>
      <c r="CQ1571" s="213" t="s">
        <v>4553</v>
      </c>
      <c r="CR1571" s="213" t="s">
        <v>4553</v>
      </c>
      <c r="CS1571" s="213" t="s">
        <v>4287</v>
      </c>
      <c r="CT1571" s="213" t="s">
        <v>4288</v>
      </c>
      <c r="CU1571" s="213" t="s">
        <v>1150</v>
      </c>
      <c r="CV1571" s="214" t="s">
        <v>4289</v>
      </c>
      <c r="CX1571" s="212">
        <v>1</v>
      </c>
    </row>
    <row r="1572" spans="91:102" ht="21" customHeight="1">
      <c r="CM1572" s="210"/>
      <c r="CN1572" s="213" t="s">
        <v>4554</v>
      </c>
      <c r="CO1572" s="213" t="s">
        <v>888</v>
      </c>
      <c r="CP1572" s="213" t="s">
        <v>879</v>
      </c>
      <c r="CQ1572" s="213" t="s">
        <v>4555</v>
      </c>
      <c r="CR1572" s="213" t="s">
        <v>4555</v>
      </c>
      <c r="CS1572" s="213" t="s">
        <v>881</v>
      </c>
      <c r="CT1572" s="213" t="s">
        <v>4302</v>
      </c>
      <c r="CU1572" s="213" t="s">
        <v>883</v>
      </c>
      <c r="CV1572" s="214" t="s">
        <v>884</v>
      </c>
      <c r="CX1572" s="212">
        <v>1</v>
      </c>
    </row>
    <row r="1573" spans="91:102" ht="21" customHeight="1">
      <c r="CM1573" s="210"/>
      <c r="CN1573" s="213" t="s">
        <v>4556</v>
      </c>
      <c r="CO1573" s="213" t="s">
        <v>888</v>
      </c>
      <c r="CP1573" s="213" t="s">
        <v>879</v>
      </c>
      <c r="CQ1573" s="213" t="s">
        <v>4557</v>
      </c>
      <c r="CR1573" s="213" t="s">
        <v>4557</v>
      </c>
      <c r="CS1573" s="213" t="s">
        <v>4287</v>
      </c>
      <c r="CT1573" s="213" t="s">
        <v>4288</v>
      </c>
      <c r="CU1573" s="213" t="s">
        <v>1150</v>
      </c>
      <c r="CV1573" s="214" t="s">
        <v>4289</v>
      </c>
      <c r="CX1573" s="212">
        <v>1</v>
      </c>
    </row>
    <row r="1574" spans="91:102" ht="21" customHeight="1">
      <c r="CM1574" s="210"/>
      <c r="CN1574" s="213" t="s">
        <v>4558</v>
      </c>
      <c r="CO1574" s="213" t="s">
        <v>888</v>
      </c>
      <c r="CP1574" s="213" t="s">
        <v>879</v>
      </c>
      <c r="CQ1574" s="213" t="s">
        <v>4559</v>
      </c>
      <c r="CR1574" s="213" t="s">
        <v>4560</v>
      </c>
      <c r="CS1574" s="213" t="s">
        <v>4287</v>
      </c>
      <c r="CT1574" s="213" t="s">
        <v>4288</v>
      </c>
      <c r="CU1574" s="213" t="s">
        <v>1150</v>
      </c>
      <c r="CV1574" s="214" t="s">
        <v>4289</v>
      </c>
      <c r="CX1574" s="212">
        <v>1</v>
      </c>
    </row>
    <row r="1575" spans="91:102" ht="21" customHeight="1">
      <c r="CM1575" s="210"/>
      <c r="CN1575" s="213" t="s">
        <v>4561</v>
      </c>
      <c r="CO1575" s="213" t="s">
        <v>888</v>
      </c>
      <c r="CP1575" s="213" t="s">
        <v>879</v>
      </c>
      <c r="CQ1575" s="213" t="s">
        <v>4562</v>
      </c>
      <c r="CR1575" s="213" t="s">
        <v>4562</v>
      </c>
      <c r="CS1575" s="213" t="s">
        <v>4287</v>
      </c>
      <c r="CT1575" s="213" t="s">
        <v>4288</v>
      </c>
      <c r="CU1575" s="213" t="s">
        <v>1150</v>
      </c>
      <c r="CV1575" s="214" t="s">
        <v>4289</v>
      </c>
      <c r="CX1575" s="212">
        <v>1</v>
      </c>
    </row>
    <row r="1576" spans="91:102" ht="21" customHeight="1">
      <c r="CM1576" s="210"/>
      <c r="CN1576" s="213" t="s">
        <v>4563</v>
      </c>
      <c r="CO1576" s="213" t="s">
        <v>888</v>
      </c>
      <c r="CP1576" s="213" t="s">
        <v>879</v>
      </c>
      <c r="CQ1576" s="213" t="s">
        <v>4564</v>
      </c>
      <c r="CR1576" s="213" t="s">
        <v>4564</v>
      </c>
      <c r="CS1576" s="213" t="s">
        <v>4287</v>
      </c>
      <c r="CT1576" s="213" t="s">
        <v>4288</v>
      </c>
      <c r="CU1576" s="213" t="s">
        <v>1150</v>
      </c>
      <c r="CV1576" s="214" t="s">
        <v>4289</v>
      </c>
      <c r="CX1576" s="212">
        <v>1</v>
      </c>
    </row>
    <row r="1577" spans="91:102" ht="21" customHeight="1">
      <c r="CM1577" s="210"/>
      <c r="CN1577" s="213" t="s">
        <v>4565</v>
      </c>
      <c r="CO1577" s="213" t="s">
        <v>888</v>
      </c>
      <c r="CP1577" s="213" t="s">
        <v>879</v>
      </c>
      <c r="CQ1577" s="213" t="s">
        <v>4566</v>
      </c>
      <c r="CR1577" s="213" t="s">
        <v>4566</v>
      </c>
      <c r="CS1577" s="213" t="s">
        <v>4287</v>
      </c>
      <c r="CT1577" s="213" t="s">
        <v>4288</v>
      </c>
      <c r="CU1577" s="213" t="s">
        <v>1150</v>
      </c>
      <c r="CV1577" s="214" t="s">
        <v>4289</v>
      </c>
      <c r="CX1577" s="212">
        <v>1</v>
      </c>
    </row>
    <row r="1578" spans="91:102" ht="21" customHeight="1">
      <c r="CM1578" s="210"/>
      <c r="CN1578" s="213" t="s">
        <v>4567</v>
      </c>
      <c r="CO1578" s="213" t="s">
        <v>888</v>
      </c>
      <c r="CP1578" s="213" t="s">
        <v>879</v>
      </c>
      <c r="CQ1578" s="213" t="s">
        <v>4568</v>
      </c>
      <c r="CR1578" s="213" t="s">
        <v>4569</v>
      </c>
      <c r="CS1578" s="213" t="s">
        <v>4287</v>
      </c>
      <c r="CT1578" s="213" t="s">
        <v>4288</v>
      </c>
      <c r="CU1578" s="213" t="s">
        <v>1150</v>
      </c>
      <c r="CV1578" s="214" t="s">
        <v>4289</v>
      </c>
      <c r="CX1578" s="212">
        <v>1</v>
      </c>
    </row>
    <row r="1579" spans="91:102" ht="21" customHeight="1">
      <c r="CM1579" s="210"/>
      <c r="CN1579" s="213" t="s">
        <v>4570</v>
      </c>
      <c r="CO1579" s="213" t="s">
        <v>888</v>
      </c>
      <c r="CP1579" s="213" t="s">
        <v>879</v>
      </c>
      <c r="CQ1579" s="213" t="s">
        <v>4571</v>
      </c>
      <c r="CR1579" s="213" t="s">
        <v>4571</v>
      </c>
      <c r="CS1579" s="213" t="s">
        <v>881</v>
      </c>
      <c r="CT1579" s="213" t="s">
        <v>4302</v>
      </c>
      <c r="CU1579" s="213" t="s">
        <v>883</v>
      </c>
      <c r="CV1579" s="214" t="s">
        <v>884</v>
      </c>
      <c r="CX1579" s="212">
        <v>1</v>
      </c>
    </row>
    <row r="1580" spans="91:102" ht="21" customHeight="1">
      <c r="CM1580" s="210"/>
      <c r="CN1580" s="213" t="s">
        <v>4572</v>
      </c>
      <c r="CO1580" s="213" t="s">
        <v>888</v>
      </c>
      <c r="CP1580" s="213" t="s">
        <v>879</v>
      </c>
      <c r="CQ1580" s="213" t="s">
        <v>4573</v>
      </c>
      <c r="CR1580" s="213" t="s">
        <v>4573</v>
      </c>
      <c r="CS1580" s="213" t="s">
        <v>4287</v>
      </c>
      <c r="CT1580" s="213" t="s">
        <v>4288</v>
      </c>
      <c r="CU1580" s="213" t="s">
        <v>1150</v>
      </c>
      <c r="CV1580" s="214" t="s">
        <v>4289</v>
      </c>
      <c r="CX1580" s="212">
        <v>1</v>
      </c>
    </row>
    <row r="1581" spans="91:102" ht="21" customHeight="1">
      <c r="CM1581" s="210"/>
      <c r="CN1581" s="213" t="s">
        <v>4574</v>
      </c>
      <c r="CO1581" s="213" t="s">
        <v>888</v>
      </c>
      <c r="CP1581" s="213" t="s">
        <v>879</v>
      </c>
      <c r="CQ1581" s="213" t="s">
        <v>4575</v>
      </c>
      <c r="CR1581" s="213" t="s">
        <v>4575</v>
      </c>
      <c r="CS1581" s="213" t="s">
        <v>881</v>
      </c>
      <c r="CT1581" s="213" t="s">
        <v>4302</v>
      </c>
      <c r="CU1581" s="213" t="s">
        <v>883</v>
      </c>
      <c r="CV1581" s="214" t="s">
        <v>884</v>
      </c>
      <c r="CX1581" s="212">
        <v>1</v>
      </c>
    </row>
    <row r="1582" spans="91:102" ht="21" customHeight="1">
      <c r="CM1582" s="210"/>
      <c r="CN1582" s="213" t="s">
        <v>4576</v>
      </c>
      <c r="CO1582" s="213" t="s">
        <v>888</v>
      </c>
      <c r="CP1582" s="213" t="s">
        <v>879</v>
      </c>
      <c r="CQ1582" s="213" t="s">
        <v>4577</v>
      </c>
      <c r="CR1582" s="213" t="s">
        <v>4577</v>
      </c>
      <c r="CS1582" s="213" t="s">
        <v>4287</v>
      </c>
      <c r="CT1582" s="213" t="s">
        <v>4288</v>
      </c>
      <c r="CU1582" s="213" t="s">
        <v>1150</v>
      </c>
      <c r="CV1582" s="214" t="s">
        <v>4289</v>
      </c>
      <c r="CX1582" s="212">
        <v>1</v>
      </c>
    </row>
    <row r="1583" spans="91:102" ht="21" customHeight="1">
      <c r="CM1583" s="210"/>
      <c r="CN1583" s="213" t="s">
        <v>4578</v>
      </c>
      <c r="CO1583" s="213" t="s">
        <v>888</v>
      </c>
      <c r="CP1583" s="213" t="s">
        <v>879</v>
      </c>
      <c r="CQ1583" s="213" t="s">
        <v>4579</v>
      </c>
      <c r="CR1583" s="213" t="s">
        <v>4579</v>
      </c>
      <c r="CS1583" s="213" t="s">
        <v>4287</v>
      </c>
      <c r="CT1583" s="213" t="s">
        <v>4288</v>
      </c>
      <c r="CU1583" s="213" t="s">
        <v>1150</v>
      </c>
      <c r="CV1583" s="214" t="s">
        <v>4289</v>
      </c>
      <c r="CX1583" s="212">
        <v>1</v>
      </c>
    </row>
    <row r="1584" spans="91:102" ht="21" customHeight="1">
      <c r="CM1584" s="210"/>
      <c r="CN1584" s="213" t="s">
        <v>4580</v>
      </c>
      <c r="CO1584" s="213" t="s">
        <v>888</v>
      </c>
      <c r="CP1584" s="213" t="s">
        <v>879</v>
      </c>
      <c r="CQ1584" s="213" t="s">
        <v>4581</v>
      </c>
      <c r="CR1584" s="213" t="s">
        <v>4581</v>
      </c>
      <c r="CS1584" s="213" t="s">
        <v>4287</v>
      </c>
      <c r="CT1584" s="213" t="s">
        <v>4288</v>
      </c>
      <c r="CU1584" s="213" t="s">
        <v>1150</v>
      </c>
      <c r="CV1584" s="214" t="s">
        <v>4289</v>
      </c>
      <c r="CX1584" s="212">
        <v>1</v>
      </c>
    </row>
    <row r="1585" spans="91:102" ht="21" customHeight="1">
      <c r="CM1585" s="210"/>
      <c r="CN1585" s="213" t="s">
        <v>4582</v>
      </c>
      <c r="CO1585" s="213" t="s">
        <v>888</v>
      </c>
      <c r="CP1585" s="213" t="s">
        <v>879</v>
      </c>
      <c r="CQ1585" s="213" t="s">
        <v>4583</v>
      </c>
      <c r="CR1585" s="213" t="s">
        <v>4583</v>
      </c>
      <c r="CS1585" s="213" t="s">
        <v>881</v>
      </c>
      <c r="CT1585" s="213" t="s">
        <v>4302</v>
      </c>
      <c r="CU1585" s="213" t="s">
        <v>883</v>
      </c>
      <c r="CV1585" s="214" t="s">
        <v>884</v>
      </c>
      <c r="CX1585" s="212">
        <v>1</v>
      </c>
    </row>
    <row r="1586" spans="91:102" ht="21" customHeight="1">
      <c r="CM1586" s="210"/>
      <c r="CN1586" s="213" t="s">
        <v>4584</v>
      </c>
      <c r="CO1586" s="213" t="s">
        <v>888</v>
      </c>
      <c r="CP1586" s="213" t="s">
        <v>879</v>
      </c>
      <c r="CQ1586" s="213" t="s">
        <v>4585</v>
      </c>
      <c r="CR1586" s="213" t="s">
        <v>4585</v>
      </c>
      <c r="CS1586" s="213" t="s">
        <v>881</v>
      </c>
      <c r="CT1586" s="213" t="s">
        <v>4302</v>
      </c>
      <c r="CU1586" s="213" t="s">
        <v>883</v>
      </c>
      <c r="CV1586" s="214" t="s">
        <v>884</v>
      </c>
      <c r="CX1586" s="212">
        <v>1</v>
      </c>
    </row>
    <row r="1587" spans="91:102" ht="21" customHeight="1">
      <c r="CM1587" s="210"/>
      <c r="CN1587" s="213" t="s">
        <v>4586</v>
      </c>
      <c r="CO1587" s="213" t="s">
        <v>888</v>
      </c>
      <c r="CP1587" s="213" t="s">
        <v>879</v>
      </c>
      <c r="CQ1587" s="213" t="s">
        <v>4587</v>
      </c>
      <c r="CR1587" s="213" t="s">
        <v>4587</v>
      </c>
      <c r="CS1587" s="213" t="s">
        <v>881</v>
      </c>
      <c r="CT1587" s="213" t="s">
        <v>4302</v>
      </c>
      <c r="CU1587" s="213" t="s">
        <v>883</v>
      </c>
      <c r="CV1587" s="214" t="s">
        <v>884</v>
      </c>
      <c r="CX1587" s="212">
        <v>1</v>
      </c>
    </row>
    <row r="1588" spans="91:102" ht="21" customHeight="1">
      <c r="CM1588" s="210"/>
      <c r="CN1588" s="213" t="s">
        <v>4588</v>
      </c>
      <c r="CO1588" s="213" t="s">
        <v>888</v>
      </c>
      <c r="CP1588" s="213" t="s">
        <v>879</v>
      </c>
      <c r="CQ1588" s="213" t="s">
        <v>4589</v>
      </c>
      <c r="CR1588" s="213" t="s">
        <v>4589</v>
      </c>
      <c r="CS1588" s="213" t="s">
        <v>881</v>
      </c>
      <c r="CT1588" s="213" t="s">
        <v>4302</v>
      </c>
      <c r="CU1588" s="213" t="s">
        <v>883</v>
      </c>
      <c r="CV1588" s="214" t="s">
        <v>884</v>
      </c>
      <c r="CX1588" s="212">
        <v>1</v>
      </c>
    </row>
    <row r="1589" spans="91:102" ht="21" customHeight="1">
      <c r="CM1589" s="210"/>
      <c r="CN1589" s="213" t="s">
        <v>4590</v>
      </c>
      <c r="CO1589" s="213" t="s">
        <v>888</v>
      </c>
      <c r="CP1589" s="213" t="s">
        <v>879</v>
      </c>
      <c r="CQ1589" s="213" t="s">
        <v>4591</v>
      </c>
      <c r="CR1589" s="213" t="s">
        <v>4591</v>
      </c>
      <c r="CS1589" s="213" t="s">
        <v>4287</v>
      </c>
      <c r="CT1589" s="213" t="s">
        <v>4288</v>
      </c>
      <c r="CU1589" s="213" t="s">
        <v>1150</v>
      </c>
      <c r="CV1589" s="214" t="s">
        <v>4289</v>
      </c>
      <c r="CX1589" s="212">
        <v>1</v>
      </c>
    </row>
    <row r="1590" spans="91:102" ht="21" customHeight="1">
      <c r="CM1590" s="210"/>
      <c r="CN1590" s="213" t="s">
        <v>4592</v>
      </c>
      <c r="CO1590" s="213" t="s">
        <v>888</v>
      </c>
      <c r="CP1590" s="213" t="s">
        <v>879</v>
      </c>
      <c r="CQ1590" s="213" t="s">
        <v>4593</v>
      </c>
      <c r="CR1590" s="213" t="s">
        <v>4594</v>
      </c>
      <c r="CS1590" s="213" t="s">
        <v>881</v>
      </c>
      <c r="CT1590" s="213" t="s">
        <v>4302</v>
      </c>
      <c r="CU1590" s="213" t="s">
        <v>883</v>
      </c>
      <c r="CV1590" s="214" t="s">
        <v>884</v>
      </c>
      <c r="CX1590" s="212">
        <v>1</v>
      </c>
    </row>
    <row r="1591" spans="91:102" ht="21" customHeight="1">
      <c r="CM1591" s="210"/>
      <c r="CN1591" s="213" t="s">
        <v>4595</v>
      </c>
      <c r="CO1591" s="213" t="s">
        <v>888</v>
      </c>
      <c r="CP1591" s="213" t="s">
        <v>879</v>
      </c>
      <c r="CQ1591" s="213" t="s">
        <v>4596</v>
      </c>
      <c r="CR1591" s="213" t="s">
        <v>4597</v>
      </c>
      <c r="CS1591" s="213" t="s">
        <v>4287</v>
      </c>
      <c r="CT1591" s="213" t="s">
        <v>4288</v>
      </c>
      <c r="CU1591" s="213" t="s">
        <v>1150</v>
      </c>
      <c r="CV1591" s="214" t="s">
        <v>4289</v>
      </c>
      <c r="CX1591" s="212">
        <v>1</v>
      </c>
    </row>
    <row r="1592" spans="91:102" ht="21" customHeight="1">
      <c r="CM1592" s="210"/>
      <c r="CN1592" s="213" t="s">
        <v>4598</v>
      </c>
      <c r="CO1592" s="213" t="s">
        <v>888</v>
      </c>
      <c r="CP1592" s="213" t="s">
        <v>879</v>
      </c>
      <c r="CQ1592" s="213" t="s">
        <v>4599</v>
      </c>
      <c r="CR1592" s="213" t="s">
        <v>4599</v>
      </c>
      <c r="CS1592" s="213" t="s">
        <v>881</v>
      </c>
      <c r="CT1592" s="213" t="s">
        <v>4302</v>
      </c>
      <c r="CU1592" s="213" t="s">
        <v>883</v>
      </c>
      <c r="CV1592" s="214" t="s">
        <v>884</v>
      </c>
      <c r="CX1592" s="212">
        <v>1</v>
      </c>
    </row>
    <row r="1593" spans="91:102" ht="21" customHeight="1">
      <c r="CM1593" s="210"/>
      <c r="CN1593" s="213" t="s">
        <v>4600</v>
      </c>
      <c r="CO1593" s="213" t="s">
        <v>888</v>
      </c>
      <c r="CP1593" s="213" t="s">
        <v>879</v>
      </c>
      <c r="CQ1593" s="213" t="s">
        <v>4601</v>
      </c>
      <c r="CR1593" s="213" t="s">
        <v>4601</v>
      </c>
      <c r="CS1593" s="213" t="s">
        <v>4287</v>
      </c>
      <c r="CT1593" s="213" t="s">
        <v>4288</v>
      </c>
      <c r="CU1593" s="213" t="s">
        <v>1150</v>
      </c>
      <c r="CV1593" s="214" t="s">
        <v>4289</v>
      </c>
      <c r="CX1593" s="212">
        <v>1</v>
      </c>
    </row>
    <row r="1594" spans="91:102" ht="21" customHeight="1">
      <c r="CM1594" s="210"/>
      <c r="CN1594" s="213" t="s">
        <v>4602</v>
      </c>
      <c r="CO1594" s="213" t="s">
        <v>888</v>
      </c>
      <c r="CP1594" s="213" t="s">
        <v>879</v>
      </c>
      <c r="CQ1594" s="213" t="s">
        <v>4603</v>
      </c>
      <c r="CR1594" s="213" t="s">
        <v>4603</v>
      </c>
      <c r="CS1594" s="213" t="s">
        <v>4287</v>
      </c>
      <c r="CT1594" s="213" t="s">
        <v>4288</v>
      </c>
      <c r="CU1594" s="213" t="s">
        <v>1150</v>
      </c>
      <c r="CV1594" s="214" t="s">
        <v>4289</v>
      </c>
      <c r="CX1594" s="212">
        <v>1</v>
      </c>
    </row>
    <row r="1595" spans="91:102" ht="21" customHeight="1">
      <c r="CM1595" s="210"/>
      <c r="CN1595" s="213" t="s">
        <v>4604</v>
      </c>
      <c r="CO1595" s="213" t="s">
        <v>888</v>
      </c>
      <c r="CP1595" s="213" t="s">
        <v>879</v>
      </c>
      <c r="CQ1595" s="213" t="s">
        <v>4605</v>
      </c>
      <c r="CR1595" s="213" t="s">
        <v>4605</v>
      </c>
      <c r="CS1595" s="213" t="s">
        <v>4287</v>
      </c>
      <c r="CT1595" s="213" t="s">
        <v>4288</v>
      </c>
      <c r="CU1595" s="213" t="s">
        <v>1150</v>
      </c>
      <c r="CV1595" s="214" t="s">
        <v>4289</v>
      </c>
      <c r="CX1595" s="212">
        <v>1</v>
      </c>
    </row>
    <row r="1596" spans="91:102" ht="21" customHeight="1">
      <c r="CM1596" s="210"/>
      <c r="CN1596" s="213" t="s">
        <v>4606</v>
      </c>
      <c r="CO1596" s="213" t="s">
        <v>888</v>
      </c>
      <c r="CP1596" s="213" t="s">
        <v>879</v>
      </c>
      <c r="CQ1596" s="213" t="s">
        <v>4607</v>
      </c>
      <c r="CR1596" s="213" t="s">
        <v>4607</v>
      </c>
      <c r="CS1596" s="213" t="s">
        <v>971</v>
      </c>
      <c r="CT1596" s="213" t="s">
        <v>972</v>
      </c>
      <c r="CU1596" s="213" t="s">
        <v>883</v>
      </c>
      <c r="CV1596" s="214" t="s">
        <v>973</v>
      </c>
      <c r="CX1596" s="212">
        <v>1</v>
      </c>
    </row>
    <row r="1597" spans="91:102" ht="21" customHeight="1">
      <c r="CM1597" s="210"/>
      <c r="CN1597" s="213" t="s">
        <v>4608</v>
      </c>
      <c r="CO1597" s="213" t="s">
        <v>888</v>
      </c>
      <c r="CP1597" s="213" t="s">
        <v>879</v>
      </c>
      <c r="CQ1597" s="213" t="s">
        <v>4609</v>
      </c>
      <c r="CR1597" s="213" t="s">
        <v>4609</v>
      </c>
      <c r="CS1597" s="213" t="s">
        <v>4287</v>
      </c>
      <c r="CT1597" s="213" t="s">
        <v>4288</v>
      </c>
      <c r="CU1597" s="213" t="s">
        <v>1150</v>
      </c>
      <c r="CV1597" s="214" t="s">
        <v>4289</v>
      </c>
      <c r="CX1597" s="212">
        <v>1</v>
      </c>
    </row>
    <row r="1598" spans="91:102" ht="21" customHeight="1">
      <c r="CM1598" s="210"/>
      <c r="CN1598" s="213" t="s">
        <v>4610</v>
      </c>
      <c r="CO1598" s="213" t="s">
        <v>888</v>
      </c>
      <c r="CP1598" s="213" t="s">
        <v>879</v>
      </c>
      <c r="CQ1598" s="213" t="s">
        <v>4611</v>
      </c>
      <c r="CR1598" s="213" t="s">
        <v>4611</v>
      </c>
      <c r="CS1598" s="213" t="s">
        <v>4287</v>
      </c>
      <c r="CT1598" s="213" t="s">
        <v>4288</v>
      </c>
      <c r="CU1598" s="213" t="s">
        <v>1150</v>
      </c>
      <c r="CV1598" s="214" t="s">
        <v>4289</v>
      </c>
      <c r="CX1598" s="212">
        <v>1</v>
      </c>
    </row>
    <row r="1599" spans="91:102" ht="21" customHeight="1">
      <c r="CM1599" s="210"/>
      <c r="CN1599" s="213" t="s">
        <v>4612</v>
      </c>
      <c r="CO1599" s="213" t="s">
        <v>888</v>
      </c>
      <c r="CP1599" s="213" t="s">
        <v>879</v>
      </c>
      <c r="CQ1599" s="213" t="s">
        <v>4613</v>
      </c>
      <c r="CR1599" s="213" t="s">
        <v>4613</v>
      </c>
      <c r="CS1599" s="213" t="s">
        <v>4287</v>
      </c>
      <c r="CT1599" s="213" t="s">
        <v>4288</v>
      </c>
      <c r="CU1599" s="213" t="s">
        <v>1150</v>
      </c>
      <c r="CV1599" s="214" t="s">
        <v>4289</v>
      </c>
      <c r="CX1599" s="212">
        <v>1</v>
      </c>
    </row>
    <row r="1600" spans="91:102" ht="21" customHeight="1">
      <c r="CM1600" s="210"/>
      <c r="CN1600" s="213" t="s">
        <v>4614</v>
      </c>
      <c r="CO1600" s="213" t="s">
        <v>888</v>
      </c>
      <c r="CP1600" s="213" t="s">
        <v>879</v>
      </c>
      <c r="CQ1600" s="213" t="s">
        <v>4615</v>
      </c>
      <c r="CR1600" s="213" t="s">
        <v>4616</v>
      </c>
      <c r="CS1600" s="213" t="s">
        <v>881</v>
      </c>
      <c r="CT1600" s="213" t="s">
        <v>4302</v>
      </c>
      <c r="CU1600" s="213" t="s">
        <v>883</v>
      </c>
      <c r="CV1600" s="214" t="s">
        <v>884</v>
      </c>
      <c r="CX1600" s="212">
        <v>1</v>
      </c>
    </row>
    <row r="1601" spans="91:102" ht="21" customHeight="1">
      <c r="CM1601" s="210"/>
      <c r="CN1601" s="213" t="s">
        <v>4617</v>
      </c>
      <c r="CO1601" s="213" t="s">
        <v>888</v>
      </c>
      <c r="CP1601" s="213" t="s">
        <v>879</v>
      </c>
      <c r="CQ1601" s="213" t="s">
        <v>4618</v>
      </c>
      <c r="CR1601" s="213" t="s">
        <v>4618</v>
      </c>
      <c r="CS1601" s="213" t="s">
        <v>881</v>
      </c>
      <c r="CT1601" s="213" t="s">
        <v>4302</v>
      </c>
      <c r="CU1601" s="213" t="s">
        <v>883</v>
      </c>
      <c r="CV1601" s="214" t="s">
        <v>884</v>
      </c>
      <c r="CX1601" s="212">
        <v>1</v>
      </c>
    </row>
    <row r="1602" spans="91:102" ht="21" customHeight="1">
      <c r="CM1602" s="210"/>
      <c r="CN1602" s="213" t="s">
        <v>4619</v>
      </c>
      <c r="CO1602" s="213" t="s">
        <v>888</v>
      </c>
      <c r="CP1602" s="213" t="s">
        <v>879</v>
      </c>
      <c r="CQ1602" s="213" t="s">
        <v>4620</v>
      </c>
      <c r="CR1602" s="213" t="s">
        <v>4620</v>
      </c>
      <c r="CS1602" s="213" t="s">
        <v>4287</v>
      </c>
      <c r="CT1602" s="213" t="s">
        <v>4288</v>
      </c>
      <c r="CU1602" s="213" t="s">
        <v>1150</v>
      </c>
      <c r="CV1602" s="214" t="s">
        <v>4289</v>
      </c>
      <c r="CX1602" s="212">
        <v>1</v>
      </c>
    </row>
    <row r="1603" spans="91:102" ht="21" customHeight="1">
      <c r="CM1603" s="210"/>
      <c r="CN1603" s="213" t="s">
        <v>4621</v>
      </c>
      <c r="CO1603" s="213" t="s">
        <v>888</v>
      </c>
      <c r="CP1603" s="213" t="s">
        <v>879</v>
      </c>
      <c r="CQ1603" s="213" t="s">
        <v>4622</v>
      </c>
      <c r="CR1603" s="213" t="s">
        <v>4622</v>
      </c>
      <c r="CS1603" s="213" t="s">
        <v>4287</v>
      </c>
      <c r="CT1603" s="213" t="s">
        <v>4288</v>
      </c>
      <c r="CU1603" s="213" t="s">
        <v>1150</v>
      </c>
      <c r="CV1603" s="214" t="s">
        <v>4289</v>
      </c>
      <c r="CX1603" s="212">
        <v>1</v>
      </c>
    </row>
    <row r="1604" spans="91:102" ht="21" customHeight="1">
      <c r="CM1604" s="210"/>
      <c r="CN1604" s="213" t="s">
        <v>4623</v>
      </c>
      <c r="CO1604" s="213" t="s">
        <v>888</v>
      </c>
      <c r="CP1604" s="213" t="s">
        <v>879</v>
      </c>
      <c r="CQ1604" s="213" t="s">
        <v>4624</v>
      </c>
      <c r="CR1604" s="213" t="s">
        <v>4624</v>
      </c>
      <c r="CS1604" s="213" t="s">
        <v>881</v>
      </c>
      <c r="CT1604" s="213" t="s">
        <v>4302</v>
      </c>
      <c r="CU1604" s="213" t="s">
        <v>883</v>
      </c>
      <c r="CV1604" s="214" t="s">
        <v>884</v>
      </c>
      <c r="CX1604" s="212">
        <v>1</v>
      </c>
    </row>
    <row r="1605" spans="91:102" ht="21" customHeight="1">
      <c r="CM1605" s="210"/>
      <c r="CN1605" s="213" t="s">
        <v>4625</v>
      </c>
      <c r="CO1605" s="213" t="s">
        <v>888</v>
      </c>
      <c r="CP1605" s="213" t="s">
        <v>879</v>
      </c>
      <c r="CQ1605" s="213" t="s">
        <v>4626</v>
      </c>
      <c r="CR1605" s="213" t="s">
        <v>4626</v>
      </c>
      <c r="CS1605" s="213" t="s">
        <v>881</v>
      </c>
      <c r="CT1605" s="213" t="s">
        <v>4302</v>
      </c>
      <c r="CU1605" s="213" t="s">
        <v>883</v>
      </c>
      <c r="CV1605" s="214" t="s">
        <v>884</v>
      </c>
      <c r="CX1605" s="212">
        <v>1</v>
      </c>
    </row>
    <row r="1606" spans="91:102" ht="21" customHeight="1">
      <c r="CM1606" s="210"/>
      <c r="CN1606" s="213" t="s">
        <v>4627</v>
      </c>
      <c r="CO1606" s="213" t="s">
        <v>888</v>
      </c>
      <c r="CP1606" s="213" t="s">
        <v>879</v>
      </c>
      <c r="CQ1606" s="213" t="s">
        <v>4628</v>
      </c>
      <c r="CR1606" s="213" t="s">
        <v>4628</v>
      </c>
      <c r="CS1606" s="213" t="s">
        <v>881</v>
      </c>
      <c r="CT1606" s="213" t="s">
        <v>4302</v>
      </c>
      <c r="CU1606" s="213" t="s">
        <v>883</v>
      </c>
      <c r="CV1606" s="214" t="s">
        <v>884</v>
      </c>
      <c r="CX1606" s="212">
        <v>1</v>
      </c>
    </row>
    <row r="1607" spans="91:102" ht="21" customHeight="1">
      <c r="CM1607" s="210"/>
      <c r="CN1607" s="213" t="s">
        <v>4629</v>
      </c>
      <c r="CO1607" s="213" t="s">
        <v>888</v>
      </c>
      <c r="CP1607" s="213" t="s">
        <v>879</v>
      </c>
      <c r="CQ1607" s="213" t="s">
        <v>4630</v>
      </c>
      <c r="CR1607" s="213" t="s">
        <v>4631</v>
      </c>
      <c r="CS1607" s="213" t="s">
        <v>4287</v>
      </c>
      <c r="CT1607" s="213" t="s">
        <v>4288</v>
      </c>
      <c r="CU1607" s="213" t="s">
        <v>1150</v>
      </c>
      <c r="CV1607" s="214" t="s">
        <v>4289</v>
      </c>
      <c r="CX1607" s="212">
        <v>1</v>
      </c>
    </row>
    <row r="1608" spans="91:102" ht="21" customHeight="1">
      <c r="CM1608" s="210"/>
      <c r="CN1608" s="213" t="s">
        <v>4632</v>
      </c>
      <c r="CO1608" s="213" t="s">
        <v>888</v>
      </c>
      <c r="CP1608" s="213" t="s">
        <v>879</v>
      </c>
      <c r="CQ1608" s="213" t="s">
        <v>4633</v>
      </c>
      <c r="CR1608" s="213" t="s">
        <v>4634</v>
      </c>
      <c r="CS1608" s="213" t="s">
        <v>881</v>
      </c>
      <c r="CT1608" s="213" t="s">
        <v>4302</v>
      </c>
      <c r="CU1608" s="213" t="s">
        <v>883</v>
      </c>
      <c r="CV1608" s="214" t="s">
        <v>884</v>
      </c>
      <c r="CX1608" s="212">
        <v>1</v>
      </c>
    </row>
    <row r="1609" spans="91:102" ht="21" customHeight="1">
      <c r="CM1609" s="210"/>
      <c r="CN1609" s="213" t="s">
        <v>4635</v>
      </c>
      <c r="CO1609" s="213" t="s">
        <v>888</v>
      </c>
      <c r="CP1609" s="213" t="s">
        <v>879</v>
      </c>
      <c r="CQ1609" s="213" t="s">
        <v>4636</v>
      </c>
      <c r="CR1609" s="213" t="s">
        <v>4636</v>
      </c>
      <c r="CS1609" s="213" t="s">
        <v>4287</v>
      </c>
      <c r="CT1609" s="213" t="s">
        <v>4288</v>
      </c>
      <c r="CU1609" s="213" t="s">
        <v>1150</v>
      </c>
      <c r="CV1609" s="214" t="s">
        <v>4289</v>
      </c>
      <c r="CX1609" s="212">
        <v>1</v>
      </c>
    </row>
    <row r="1610" spans="91:102" ht="21" customHeight="1">
      <c r="CM1610" s="210"/>
      <c r="CN1610" s="213" t="s">
        <v>4637</v>
      </c>
      <c r="CO1610" s="213" t="s">
        <v>888</v>
      </c>
      <c r="CP1610" s="213" t="s">
        <v>879</v>
      </c>
      <c r="CQ1610" s="213" t="s">
        <v>4638</v>
      </c>
      <c r="CR1610" s="213" t="s">
        <v>4638</v>
      </c>
      <c r="CS1610" s="213" t="s">
        <v>881</v>
      </c>
      <c r="CT1610" s="213" t="s">
        <v>4302</v>
      </c>
      <c r="CU1610" s="213" t="s">
        <v>883</v>
      </c>
      <c r="CV1610" s="214" t="s">
        <v>884</v>
      </c>
      <c r="CX1610" s="212">
        <v>1</v>
      </c>
    </row>
    <row r="1611" spans="91:102" ht="21" customHeight="1">
      <c r="CM1611" s="210"/>
      <c r="CN1611" s="213" t="s">
        <v>4639</v>
      </c>
      <c r="CO1611" s="213" t="s">
        <v>888</v>
      </c>
      <c r="CP1611" s="213" t="s">
        <v>879</v>
      </c>
      <c r="CQ1611" s="213" t="s">
        <v>4640</v>
      </c>
      <c r="CR1611" s="213" t="s">
        <v>4641</v>
      </c>
      <c r="CS1611" s="213" t="s">
        <v>881</v>
      </c>
      <c r="CT1611" s="213" t="s">
        <v>4302</v>
      </c>
      <c r="CU1611" s="213" t="s">
        <v>883</v>
      </c>
      <c r="CV1611" s="214" t="s">
        <v>884</v>
      </c>
      <c r="CX1611" s="212">
        <v>1</v>
      </c>
    </row>
    <row r="1612" spans="91:102" ht="21" customHeight="1">
      <c r="CM1612" s="210"/>
      <c r="CN1612" s="213" t="s">
        <v>4642</v>
      </c>
      <c r="CO1612" s="213" t="s">
        <v>888</v>
      </c>
      <c r="CP1612" s="213" t="s">
        <v>879</v>
      </c>
      <c r="CQ1612" s="213" t="s">
        <v>4643</v>
      </c>
      <c r="CR1612" s="213" t="s">
        <v>4644</v>
      </c>
      <c r="CS1612" s="213" t="s">
        <v>4287</v>
      </c>
      <c r="CT1612" s="213" t="s">
        <v>4288</v>
      </c>
      <c r="CU1612" s="213" t="s">
        <v>1150</v>
      </c>
      <c r="CV1612" s="214" t="s">
        <v>4289</v>
      </c>
      <c r="CX1612" s="212">
        <v>1</v>
      </c>
    </row>
    <row r="1613" spans="91:102" ht="21" customHeight="1">
      <c r="CM1613" s="210"/>
      <c r="CN1613" s="213" t="s">
        <v>4645</v>
      </c>
      <c r="CO1613" s="213" t="s">
        <v>888</v>
      </c>
      <c r="CP1613" s="213" t="s">
        <v>879</v>
      </c>
      <c r="CQ1613" s="213" t="s">
        <v>4646</v>
      </c>
      <c r="CR1613" s="213" t="s">
        <v>4646</v>
      </c>
      <c r="CS1613" s="213" t="s">
        <v>4287</v>
      </c>
      <c r="CT1613" s="213" t="s">
        <v>4288</v>
      </c>
      <c r="CU1613" s="213" t="s">
        <v>1150</v>
      </c>
      <c r="CV1613" s="214" t="s">
        <v>4289</v>
      </c>
      <c r="CX1613" s="212">
        <v>1</v>
      </c>
    </row>
    <row r="1614" spans="91:102" ht="21" customHeight="1">
      <c r="CM1614" s="210"/>
      <c r="CN1614" s="213" t="s">
        <v>4647</v>
      </c>
      <c r="CO1614" s="213" t="s">
        <v>888</v>
      </c>
      <c r="CP1614" s="213" t="s">
        <v>879</v>
      </c>
      <c r="CQ1614" s="213" t="s">
        <v>4648</v>
      </c>
      <c r="CR1614" s="213" t="s">
        <v>4648</v>
      </c>
      <c r="CS1614" s="213" t="s">
        <v>881</v>
      </c>
      <c r="CT1614" s="213" t="s">
        <v>4302</v>
      </c>
      <c r="CU1614" s="213" t="s">
        <v>883</v>
      </c>
      <c r="CV1614" s="214" t="s">
        <v>884</v>
      </c>
      <c r="CX1614" s="212">
        <v>1</v>
      </c>
    </row>
    <row r="1615" spans="91:102" ht="21" customHeight="1">
      <c r="CM1615" s="210"/>
      <c r="CN1615" s="213" t="s">
        <v>4649</v>
      </c>
      <c r="CO1615" s="213" t="s">
        <v>888</v>
      </c>
      <c r="CP1615" s="213" t="s">
        <v>879</v>
      </c>
      <c r="CQ1615" s="213" t="s">
        <v>4650</v>
      </c>
      <c r="CR1615" s="213" t="s">
        <v>4650</v>
      </c>
      <c r="CS1615" s="213" t="s">
        <v>4287</v>
      </c>
      <c r="CT1615" s="213" t="s">
        <v>4288</v>
      </c>
      <c r="CU1615" s="213" t="s">
        <v>1150</v>
      </c>
      <c r="CV1615" s="214" t="s">
        <v>4289</v>
      </c>
      <c r="CX1615" s="212">
        <v>1</v>
      </c>
    </row>
    <row r="1616" spans="91:102" ht="21" customHeight="1">
      <c r="CM1616" s="210"/>
      <c r="CN1616" s="213" t="s">
        <v>4651</v>
      </c>
      <c r="CO1616" s="213" t="s">
        <v>888</v>
      </c>
      <c r="CP1616" s="213" t="s">
        <v>879</v>
      </c>
      <c r="CQ1616" s="213" t="s">
        <v>4652</v>
      </c>
      <c r="CR1616" s="213" t="s">
        <v>4653</v>
      </c>
      <c r="CS1616" s="213" t="s">
        <v>881</v>
      </c>
      <c r="CT1616" s="213" t="s">
        <v>4302</v>
      </c>
      <c r="CU1616" s="213" t="s">
        <v>883</v>
      </c>
      <c r="CV1616" s="214" t="s">
        <v>884</v>
      </c>
      <c r="CX1616" s="212">
        <v>1</v>
      </c>
    </row>
    <row r="1617" spans="91:102" ht="21" customHeight="1">
      <c r="CM1617" s="210"/>
      <c r="CN1617" s="213" t="s">
        <v>4654</v>
      </c>
      <c r="CO1617" s="213" t="s">
        <v>888</v>
      </c>
      <c r="CP1617" s="213" t="s">
        <v>879</v>
      </c>
      <c r="CQ1617" s="213" t="s">
        <v>4655</v>
      </c>
      <c r="CR1617" s="213" t="s">
        <v>4655</v>
      </c>
      <c r="CS1617" s="213" t="s">
        <v>881</v>
      </c>
      <c r="CT1617" s="213" t="s">
        <v>4302</v>
      </c>
      <c r="CU1617" s="213" t="s">
        <v>883</v>
      </c>
      <c r="CV1617" s="214" t="s">
        <v>884</v>
      </c>
      <c r="CX1617" s="212">
        <v>1</v>
      </c>
    </row>
    <row r="1618" spans="91:102" ht="21" customHeight="1">
      <c r="CM1618" s="210"/>
      <c r="CN1618" s="213" t="s">
        <v>4656</v>
      </c>
      <c r="CO1618" s="213" t="s">
        <v>888</v>
      </c>
      <c r="CP1618" s="213" t="s">
        <v>879</v>
      </c>
      <c r="CQ1618" s="213" t="s">
        <v>4657</v>
      </c>
      <c r="CR1618" s="213" t="s">
        <v>4658</v>
      </c>
      <c r="CS1618" s="213" t="s">
        <v>881</v>
      </c>
      <c r="CT1618" s="213" t="s">
        <v>4302</v>
      </c>
      <c r="CU1618" s="213" t="s">
        <v>883</v>
      </c>
      <c r="CV1618" s="214" t="s">
        <v>884</v>
      </c>
      <c r="CX1618" s="212">
        <v>1</v>
      </c>
    </row>
    <row r="1619" spans="91:102" ht="21" customHeight="1">
      <c r="CM1619" s="210"/>
      <c r="CN1619" s="213" t="s">
        <v>4659</v>
      </c>
      <c r="CO1619" s="213" t="s">
        <v>888</v>
      </c>
      <c r="CP1619" s="213" t="s">
        <v>879</v>
      </c>
      <c r="CQ1619" s="213" t="s">
        <v>4660</v>
      </c>
      <c r="CR1619" s="213" t="s">
        <v>4661</v>
      </c>
      <c r="CS1619" s="213" t="s">
        <v>881</v>
      </c>
      <c r="CT1619" s="213" t="s">
        <v>4302</v>
      </c>
      <c r="CU1619" s="213" t="s">
        <v>883</v>
      </c>
      <c r="CV1619" s="214" t="s">
        <v>884</v>
      </c>
      <c r="CX1619" s="212">
        <v>1</v>
      </c>
    </row>
    <row r="1620" spans="91:102" ht="21" customHeight="1">
      <c r="CM1620" s="210"/>
      <c r="CN1620" s="213" t="s">
        <v>4662</v>
      </c>
      <c r="CO1620" s="213" t="s">
        <v>888</v>
      </c>
      <c r="CP1620" s="213" t="s">
        <v>879</v>
      </c>
      <c r="CQ1620" s="213" t="s">
        <v>4663</v>
      </c>
      <c r="CR1620" s="213" t="s">
        <v>4663</v>
      </c>
      <c r="CS1620" s="213" t="s">
        <v>881</v>
      </c>
      <c r="CT1620" s="213" t="s">
        <v>4302</v>
      </c>
      <c r="CU1620" s="213" t="s">
        <v>883</v>
      </c>
      <c r="CV1620" s="214" t="s">
        <v>884</v>
      </c>
      <c r="CX1620" s="212">
        <v>1</v>
      </c>
    </row>
    <row r="1621" spans="91:102" ht="21" customHeight="1">
      <c r="CM1621" s="210"/>
      <c r="CN1621" s="213" t="s">
        <v>4664</v>
      </c>
      <c r="CO1621" s="213" t="s">
        <v>888</v>
      </c>
      <c r="CP1621" s="213" t="s">
        <v>879</v>
      </c>
      <c r="CQ1621" s="213" t="s">
        <v>4665</v>
      </c>
      <c r="CR1621" s="213" t="s">
        <v>4665</v>
      </c>
      <c r="CS1621" s="213" t="s">
        <v>881</v>
      </c>
      <c r="CT1621" s="213" t="s">
        <v>4302</v>
      </c>
      <c r="CU1621" s="213" t="s">
        <v>883</v>
      </c>
      <c r="CV1621" s="214" t="s">
        <v>884</v>
      </c>
      <c r="CX1621" s="212">
        <v>1</v>
      </c>
    </row>
    <row r="1622" spans="91:102" ht="21" customHeight="1">
      <c r="CM1622" s="210"/>
      <c r="CN1622" s="213" t="s">
        <v>4666</v>
      </c>
      <c r="CO1622" s="213" t="s">
        <v>888</v>
      </c>
      <c r="CP1622" s="213" t="s">
        <v>879</v>
      </c>
      <c r="CQ1622" s="213" t="s">
        <v>4667</v>
      </c>
      <c r="CR1622" s="213" t="s">
        <v>4668</v>
      </c>
      <c r="CS1622" s="213" t="s">
        <v>881</v>
      </c>
      <c r="CT1622" s="213" t="s">
        <v>4302</v>
      </c>
      <c r="CU1622" s="213" t="s">
        <v>883</v>
      </c>
      <c r="CV1622" s="214" t="s">
        <v>884</v>
      </c>
      <c r="CX1622" s="212">
        <v>1</v>
      </c>
    </row>
    <row r="1623" spans="91:102" ht="21" customHeight="1">
      <c r="CM1623" s="210"/>
      <c r="CN1623" s="213" t="s">
        <v>4669</v>
      </c>
      <c r="CO1623" s="213" t="s">
        <v>888</v>
      </c>
      <c r="CP1623" s="213" t="s">
        <v>879</v>
      </c>
      <c r="CQ1623" s="213" t="s">
        <v>4670</v>
      </c>
      <c r="CR1623" s="213" t="s">
        <v>4671</v>
      </c>
      <c r="CS1623" s="213" t="s">
        <v>4287</v>
      </c>
      <c r="CT1623" s="213" t="s">
        <v>4288</v>
      </c>
      <c r="CU1623" s="213" t="s">
        <v>1150</v>
      </c>
      <c r="CV1623" s="214" t="s">
        <v>4289</v>
      </c>
      <c r="CX1623" s="212">
        <v>1</v>
      </c>
    </row>
    <row r="1624" spans="91:102" ht="21" customHeight="1">
      <c r="CM1624" s="210"/>
      <c r="CN1624" s="213" t="s">
        <v>4672</v>
      </c>
      <c r="CO1624" s="213" t="s">
        <v>888</v>
      </c>
      <c r="CP1624" s="213" t="s">
        <v>879</v>
      </c>
      <c r="CQ1624" s="213" t="s">
        <v>4673</v>
      </c>
      <c r="CR1624" s="213" t="s">
        <v>4674</v>
      </c>
      <c r="CS1624" s="213" t="s">
        <v>4287</v>
      </c>
      <c r="CT1624" s="213" t="s">
        <v>4288</v>
      </c>
      <c r="CU1624" s="213" t="s">
        <v>1150</v>
      </c>
      <c r="CV1624" s="214" t="s">
        <v>4289</v>
      </c>
      <c r="CX1624" s="212">
        <v>1</v>
      </c>
    </row>
    <row r="1625" spans="91:102" ht="21" customHeight="1">
      <c r="CM1625" s="210"/>
      <c r="CN1625" s="213" t="s">
        <v>4675</v>
      </c>
      <c r="CO1625" s="213" t="s">
        <v>888</v>
      </c>
      <c r="CP1625" s="213" t="s">
        <v>879</v>
      </c>
      <c r="CQ1625" s="213" t="s">
        <v>4676</v>
      </c>
      <c r="CR1625" s="213" t="s">
        <v>4677</v>
      </c>
      <c r="CS1625" s="213" t="s">
        <v>4287</v>
      </c>
      <c r="CT1625" s="213" t="s">
        <v>4288</v>
      </c>
      <c r="CU1625" s="213" t="s">
        <v>1150</v>
      </c>
      <c r="CV1625" s="214" t="s">
        <v>4289</v>
      </c>
      <c r="CX1625" s="212">
        <v>1</v>
      </c>
    </row>
    <row r="1626" spans="91:102" ht="21" customHeight="1">
      <c r="CM1626" s="210"/>
      <c r="CN1626" s="213" t="s">
        <v>4678</v>
      </c>
      <c r="CO1626" s="213" t="s">
        <v>888</v>
      </c>
      <c r="CP1626" s="213" t="s">
        <v>879</v>
      </c>
      <c r="CQ1626" s="213" t="s">
        <v>4679</v>
      </c>
      <c r="CR1626" s="213" t="s">
        <v>4680</v>
      </c>
      <c r="CS1626" s="213" t="s">
        <v>4287</v>
      </c>
      <c r="CT1626" s="213" t="s">
        <v>4288</v>
      </c>
      <c r="CU1626" s="213" t="s">
        <v>1150</v>
      </c>
      <c r="CV1626" s="214" t="s">
        <v>4289</v>
      </c>
      <c r="CX1626" s="212">
        <v>1</v>
      </c>
    </row>
    <row r="1627" spans="91:102" ht="21" customHeight="1">
      <c r="CM1627" s="210"/>
      <c r="CN1627" s="213" t="s">
        <v>4681</v>
      </c>
      <c r="CO1627" s="213" t="s">
        <v>888</v>
      </c>
      <c r="CP1627" s="213" t="s">
        <v>879</v>
      </c>
      <c r="CQ1627" s="213" t="s">
        <v>4682</v>
      </c>
      <c r="CR1627" s="213" t="s">
        <v>4682</v>
      </c>
      <c r="CS1627" s="213" t="s">
        <v>4287</v>
      </c>
      <c r="CT1627" s="213" t="s">
        <v>4288</v>
      </c>
      <c r="CU1627" s="213" t="s">
        <v>1150</v>
      </c>
      <c r="CV1627" s="214" t="s">
        <v>4289</v>
      </c>
      <c r="CX1627" s="212">
        <v>1</v>
      </c>
    </row>
    <row r="1628" spans="91:102" ht="21" customHeight="1">
      <c r="CM1628" s="210"/>
      <c r="CN1628" s="213" t="s">
        <v>4683</v>
      </c>
      <c r="CO1628" s="213" t="s">
        <v>888</v>
      </c>
      <c r="CP1628" s="213" t="s">
        <v>879</v>
      </c>
      <c r="CQ1628" s="213" t="s">
        <v>4684</v>
      </c>
      <c r="CR1628" s="213" t="s">
        <v>4685</v>
      </c>
      <c r="CS1628" s="213" t="s">
        <v>4287</v>
      </c>
      <c r="CT1628" s="213" t="s">
        <v>4288</v>
      </c>
      <c r="CU1628" s="213" t="s">
        <v>1150</v>
      </c>
      <c r="CV1628" s="214" t="s">
        <v>4289</v>
      </c>
      <c r="CX1628" s="212">
        <v>1</v>
      </c>
    </row>
    <row r="1629" spans="91:102" ht="21" customHeight="1">
      <c r="CM1629" s="210"/>
      <c r="CN1629" s="213" t="s">
        <v>4686</v>
      </c>
      <c r="CO1629" s="213" t="s">
        <v>888</v>
      </c>
      <c r="CP1629" s="213" t="s">
        <v>879</v>
      </c>
      <c r="CQ1629" s="213" t="s">
        <v>4687</v>
      </c>
      <c r="CR1629" s="213" t="s">
        <v>4687</v>
      </c>
      <c r="CS1629" s="213" t="s">
        <v>4287</v>
      </c>
      <c r="CT1629" s="213" t="s">
        <v>4288</v>
      </c>
      <c r="CU1629" s="213" t="s">
        <v>1150</v>
      </c>
      <c r="CV1629" s="214" t="s">
        <v>4289</v>
      </c>
      <c r="CX1629" s="212">
        <v>1</v>
      </c>
    </row>
    <row r="1630" spans="91:102" ht="21" customHeight="1">
      <c r="CM1630" s="210"/>
      <c r="CN1630" s="213" t="s">
        <v>4688</v>
      </c>
      <c r="CO1630" s="213" t="s">
        <v>888</v>
      </c>
      <c r="CP1630" s="213" t="s">
        <v>879</v>
      </c>
      <c r="CQ1630" s="213" t="s">
        <v>4689</v>
      </c>
      <c r="CR1630" s="213" t="s">
        <v>4689</v>
      </c>
      <c r="CS1630" s="213" t="s">
        <v>4287</v>
      </c>
      <c r="CT1630" s="213" t="s">
        <v>4288</v>
      </c>
      <c r="CU1630" s="213" t="s">
        <v>1150</v>
      </c>
      <c r="CV1630" s="214" t="s">
        <v>4289</v>
      </c>
      <c r="CX1630" s="212">
        <v>1</v>
      </c>
    </row>
    <row r="1631" spans="91:102" ht="21" customHeight="1">
      <c r="CM1631" s="210"/>
      <c r="CN1631" s="213" t="s">
        <v>4690</v>
      </c>
      <c r="CO1631" s="213" t="s">
        <v>888</v>
      </c>
      <c r="CP1631" s="213" t="s">
        <v>879</v>
      </c>
      <c r="CQ1631" s="213" t="s">
        <v>4691</v>
      </c>
      <c r="CR1631" s="213" t="s">
        <v>4691</v>
      </c>
      <c r="CS1631" s="213" t="s">
        <v>4287</v>
      </c>
      <c r="CT1631" s="213" t="s">
        <v>4288</v>
      </c>
      <c r="CU1631" s="213" t="s">
        <v>1150</v>
      </c>
      <c r="CV1631" s="214" t="s">
        <v>4289</v>
      </c>
      <c r="CX1631" s="212">
        <v>1</v>
      </c>
    </row>
    <row r="1632" spans="91:102" ht="21" customHeight="1">
      <c r="CM1632" s="210"/>
      <c r="CN1632" s="213" t="s">
        <v>4692</v>
      </c>
      <c r="CO1632" s="213" t="s">
        <v>888</v>
      </c>
      <c r="CP1632" s="213" t="s">
        <v>879</v>
      </c>
      <c r="CQ1632" s="213" t="s">
        <v>4693</v>
      </c>
      <c r="CR1632" s="213" t="s">
        <v>4693</v>
      </c>
      <c r="CS1632" s="213" t="s">
        <v>4287</v>
      </c>
      <c r="CT1632" s="213" t="s">
        <v>4288</v>
      </c>
      <c r="CU1632" s="213" t="s">
        <v>1150</v>
      </c>
      <c r="CV1632" s="214" t="s">
        <v>4289</v>
      </c>
      <c r="CX1632" s="212">
        <v>1</v>
      </c>
    </row>
    <row r="1633" spans="91:102" ht="21" customHeight="1">
      <c r="CM1633" s="210"/>
      <c r="CN1633" s="213" t="s">
        <v>4694</v>
      </c>
      <c r="CO1633" s="213" t="s">
        <v>888</v>
      </c>
      <c r="CP1633" s="213" t="s">
        <v>879</v>
      </c>
      <c r="CQ1633" s="213" t="s">
        <v>4695</v>
      </c>
      <c r="CR1633" s="213" t="s">
        <v>4695</v>
      </c>
      <c r="CS1633" s="213" t="s">
        <v>881</v>
      </c>
      <c r="CT1633" s="213" t="s">
        <v>4302</v>
      </c>
      <c r="CU1633" s="213" t="s">
        <v>883</v>
      </c>
      <c r="CV1633" s="214" t="s">
        <v>884</v>
      </c>
      <c r="CX1633" s="212">
        <v>1</v>
      </c>
    </row>
    <row r="1634" spans="91:102" ht="21" customHeight="1">
      <c r="CM1634" s="210"/>
      <c r="CN1634" s="213" t="s">
        <v>4696</v>
      </c>
      <c r="CO1634" s="213" t="s">
        <v>888</v>
      </c>
      <c r="CP1634" s="213" t="s">
        <v>879</v>
      </c>
      <c r="CQ1634" s="213" t="s">
        <v>4697</v>
      </c>
      <c r="CR1634" s="213" t="s">
        <v>4697</v>
      </c>
      <c r="CS1634" s="213" t="s">
        <v>4287</v>
      </c>
      <c r="CT1634" s="213" t="s">
        <v>4288</v>
      </c>
      <c r="CU1634" s="213" t="s">
        <v>1150</v>
      </c>
      <c r="CV1634" s="214" t="s">
        <v>4289</v>
      </c>
      <c r="CX1634" s="212">
        <v>1</v>
      </c>
    </row>
    <row r="1635" spans="91:102" ht="21" customHeight="1">
      <c r="CM1635" s="210"/>
      <c r="CN1635" s="213" t="s">
        <v>4698</v>
      </c>
      <c r="CO1635" s="213" t="s">
        <v>888</v>
      </c>
      <c r="CP1635" s="213" t="s">
        <v>879</v>
      </c>
      <c r="CQ1635" s="213" t="s">
        <v>4699</v>
      </c>
      <c r="CR1635" s="213" t="s">
        <v>4700</v>
      </c>
      <c r="CS1635" s="213" t="s">
        <v>4287</v>
      </c>
      <c r="CT1635" s="213" t="s">
        <v>4288</v>
      </c>
      <c r="CU1635" s="213" t="s">
        <v>1150</v>
      </c>
      <c r="CV1635" s="214" t="s">
        <v>4289</v>
      </c>
      <c r="CX1635" s="212">
        <v>1</v>
      </c>
    </row>
    <row r="1636" spans="91:102" ht="21" customHeight="1">
      <c r="CM1636" s="210"/>
      <c r="CN1636" s="213" t="s">
        <v>4701</v>
      </c>
      <c r="CO1636" s="213" t="s">
        <v>888</v>
      </c>
      <c r="CP1636" s="213" t="s">
        <v>879</v>
      </c>
      <c r="CQ1636" s="213" t="s">
        <v>4702</v>
      </c>
      <c r="CR1636" s="213" t="s">
        <v>4702</v>
      </c>
      <c r="CS1636" s="213" t="s">
        <v>4287</v>
      </c>
      <c r="CT1636" s="213" t="s">
        <v>4288</v>
      </c>
      <c r="CU1636" s="213" t="s">
        <v>1150</v>
      </c>
      <c r="CV1636" s="214" t="s">
        <v>4289</v>
      </c>
      <c r="CX1636" s="212">
        <v>1</v>
      </c>
    </row>
    <row r="1637" spans="91:102" ht="21" customHeight="1">
      <c r="CM1637" s="210"/>
      <c r="CN1637" s="213" t="s">
        <v>4703</v>
      </c>
      <c r="CO1637" s="213" t="s">
        <v>888</v>
      </c>
      <c r="CP1637" s="213" t="s">
        <v>879</v>
      </c>
      <c r="CQ1637" s="213" t="s">
        <v>4704</v>
      </c>
      <c r="CR1637" s="213" t="s">
        <v>4704</v>
      </c>
      <c r="CS1637" s="213" t="s">
        <v>4287</v>
      </c>
      <c r="CT1637" s="213" t="s">
        <v>4288</v>
      </c>
      <c r="CU1637" s="213" t="s">
        <v>1150</v>
      </c>
      <c r="CV1637" s="214" t="s">
        <v>4289</v>
      </c>
      <c r="CX1637" s="212">
        <v>1</v>
      </c>
    </row>
    <row r="1638" spans="91:102" ht="21" customHeight="1">
      <c r="CM1638" s="210"/>
      <c r="CN1638" s="213" t="s">
        <v>4705</v>
      </c>
      <c r="CO1638" s="213" t="s">
        <v>888</v>
      </c>
      <c r="CP1638" s="213" t="s">
        <v>879</v>
      </c>
      <c r="CQ1638" s="213" t="s">
        <v>4706</v>
      </c>
      <c r="CR1638" s="213" t="s">
        <v>4706</v>
      </c>
      <c r="CS1638" s="213" t="s">
        <v>881</v>
      </c>
      <c r="CT1638" s="213" t="s">
        <v>4302</v>
      </c>
      <c r="CU1638" s="213" t="s">
        <v>883</v>
      </c>
      <c r="CV1638" s="214" t="s">
        <v>884</v>
      </c>
      <c r="CX1638" s="212">
        <v>1</v>
      </c>
    </row>
    <row r="1639" spans="91:102" ht="21" customHeight="1">
      <c r="CM1639" s="210"/>
      <c r="CN1639" s="213" t="s">
        <v>4707</v>
      </c>
      <c r="CO1639" s="213" t="s">
        <v>888</v>
      </c>
      <c r="CP1639" s="213" t="s">
        <v>879</v>
      </c>
      <c r="CQ1639" s="213" t="s">
        <v>4708</v>
      </c>
      <c r="CR1639" s="213" t="s">
        <v>4708</v>
      </c>
      <c r="CS1639" s="213" t="s">
        <v>881</v>
      </c>
      <c r="CT1639" s="213" t="s">
        <v>4302</v>
      </c>
      <c r="CU1639" s="213" t="s">
        <v>883</v>
      </c>
      <c r="CV1639" s="214" t="s">
        <v>884</v>
      </c>
      <c r="CX1639" s="212">
        <v>1</v>
      </c>
    </row>
    <row r="1640" spans="91:102" ht="21" customHeight="1">
      <c r="CM1640" s="210"/>
      <c r="CN1640" s="213" t="s">
        <v>4709</v>
      </c>
      <c r="CO1640" s="213" t="s">
        <v>888</v>
      </c>
      <c r="CP1640" s="213" t="s">
        <v>879</v>
      </c>
      <c r="CQ1640" s="213" t="s">
        <v>4710</v>
      </c>
      <c r="CR1640" s="213" t="s">
        <v>4711</v>
      </c>
      <c r="CS1640" s="213" t="s">
        <v>4287</v>
      </c>
      <c r="CT1640" s="213" t="s">
        <v>4288</v>
      </c>
      <c r="CU1640" s="213" t="s">
        <v>1150</v>
      </c>
      <c r="CV1640" s="214" t="s">
        <v>4289</v>
      </c>
      <c r="CX1640" s="212">
        <v>1</v>
      </c>
    </row>
    <row r="1641" spans="91:102" ht="21" customHeight="1">
      <c r="CM1641" s="210"/>
      <c r="CN1641" s="213" t="s">
        <v>4712</v>
      </c>
      <c r="CO1641" s="213" t="s">
        <v>888</v>
      </c>
      <c r="CP1641" s="213" t="s">
        <v>879</v>
      </c>
      <c r="CQ1641" s="213" t="s">
        <v>4713</v>
      </c>
      <c r="CR1641" s="213" t="s">
        <v>4713</v>
      </c>
      <c r="CS1641" s="213" t="s">
        <v>971</v>
      </c>
      <c r="CT1641" s="213" t="s">
        <v>972</v>
      </c>
      <c r="CU1641" s="213" t="s">
        <v>883</v>
      </c>
      <c r="CV1641" s="214" t="s">
        <v>973</v>
      </c>
      <c r="CX1641" s="212">
        <v>1</v>
      </c>
    </row>
    <row r="1642" spans="91:102" ht="21" customHeight="1">
      <c r="CM1642" s="210"/>
      <c r="CN1642" s="213" t="s">
        <v>4714</v>
      </c>
      <c r="CO1642" s="213" t="s">
        <v>888</v>
      </c>
      <c r="CP1642" s="213" t="s">
        <v>879</v>
      </c>
      <c r="CQ1642" s="213" t="s">
        <v>4715</v>
      </c>
      <c r="CR1642" s="213" t="s">
        <v>4715</v>
      </c>
      <c r="CS1642" s="213" t="s">
        <v>881</v>
      </c>
      <c r="CT1642" s="213" t="s">
        <v>4302</v>
      </c>
      <c r="CU1642" s="213" t="s">
        <v>883</v>
      </c>
      <c r="CV1642" s="214" t="s">
        <v>884</v>
      </c>
      <c r="CX1642" s="212">
        <v>1</v>
      </c>
    </row>
    <row r="1643" spans="91:102" ht="21" customHeight="1">
      <c r="CM1643" s="210"/>
      <c r="CN1643" s="213" t="s">
        <v>4716</v>
      </c>
      <c r="CO1643" s="213" t="s">
        <v>888</v>
      </c>
      <c r="CP1643" s="213" t="s">
        <v>879</v>
      </c>
      <c r="CQ1643" s="213" t="s">
        <v>4717</v>
      </c>
      <c r="CR1643" s="213" t="s">
        <v>4717</v>
      </c>
      <c r="CS1643" s="213" t="s">
        <v>881</v>
      </c>
      <c r="CT1643" s="213" t="s">
        <v>4302</v>
      </c>
      <c r="CU1643" s="213" t="s">
        <v>883</v>
      </c>
      <c r="CV1643" s="214" t="s">
        <v>884</v>
      </c>
      <c r="CX1643" s="212">
        <v>1</v>
      </c>
    </row>
    <row r="1644" spans="91:102" ht="21" customHeight="1">
      <c r="CM1644" s="210"/>
      <c r="CN1644" s="213" t="s">
        <v>4718</v>
      </c>
      <c r="CO1644" s="213" t="s">
        <v>888</v>
      </c>
      <c r="CP1644" s="213" t="s">
        <v>879</v>
      </c>
      <c r="CQ1644" s="213" t="s">
        <v>4719</v>
      </c>
      <c r="CR1644" s="213" t="s">
        <v>4720</v>
      </c>
      <c r="CS1644" s="213" t="s">
        <v>4287</v>
      </c>
      <c r="CT1644" s="213" t="s">
        <v>4288</v>
      </c>
      <c r="CU1644" s="213" t="s">
        <v>1150</v>
      </c>
      <c r="CV1644" s="214" t="s">
        <v>4289</v>
      </c>
      <c r="CX1644" s="212">
        <v>1</v>
      </c>
    </row>
    <row r="1645" spans="91:102" ht="21" customHeight="1">
      <c r="CM1645" s="210"/>
      <c r="CN1645" s="213" t="s">
        <v>4721</v>
      </c>
      <c r="CO1645" s="213" t="s">
        <v>888</v>
      </c>
      <c r="CP1645" s="213" t="s">
        <v>879</v>
      </c>
      <c r="CQ1645" s="213" t="s">
        <v>4722</v>
      </c>
      <c r="CR1645" s="213" t="s">
        <v>4722</v>
      </c>
      <c r="CS1645" s="213" t="s">
        <v>4287</v>
      </c>
      <c r="CT1645" s="213" t="s">
        <v>4288</v>
      </c>
      <c r="CU1645" s="213" t="s">
        <v>1150</v>
      </c>
      <c r="CV1645" s="214" t="s">
        <v>4289</v>
      </c>
      <c r="CX1645" s="212">
        <v>1</v>
      </c>
    </row>
    <row r="1646" spans="91:102" ht="21" customHeight="1">
      <c r="CM1646" s="210"/>
      <c r="CN1646" s="213" t="s">
        <v>4723</v>
      </c>
      <c r="CO1646" s="213" t="s">
        <v>888</v>
      </c>
      <c r="CP1646" s="213" t="s">
        <v>879</v>
      </c>
      <c r="CQ1646" s="213" t="s">
        <v>4724</v>
      </c>
      <c r="CR1646" s="213" t="s">
        <v>4724</v>
      </c>
      <c r="CS1646" s="213" t="s">
        <v>4287</v>
      </c>
      <c r="CT1646" s="213" t="s">
        <v>4288</v>
      </c>
      <c r="CU1646" s="213" t="s">
        <v>1150</v>
      </c>
      <c r="CV1646" s="214" t="s">
        <v>4289</v>
      </c>
      <c r="CX1646" s="212">
        <v>1</v>
      </c>
    </row>
    <row r="1647" spans="91:102" ht="21" customHeight="1">
      <c r="CM1647" s="210"/>
      <c r="CN1647" s="213" t="s">
        <v>4725</v>
      </c>
      <c r="CO1647" s="213" t="s">
        <v>888</v>
      </c>
      <c r="CP1647" s="213" t="s">
        <v>879</v>
      </c>
      <c r="CQ1647" s="213" t="s">
        <v>4726</v>
      </c>
      <c r="CR1647" s="213" t="s">
        <v>4726</v>
      </c>
      <c r="CS1647" s="213" t="s">
        <v>881</v>
      </c>
      <c r="CT1647" s="213" t="s">
        <v>4302</v>
      </c>
      <c r="CU1647" s="213" t="s">
        <v>883</v>
      </c>
      <c r="CV1647" s="214" t="s">
        <v>884</v>
      </c>
      <c r="CX1647" s="212">
        <v>1</v>
      </c>
    </row>
    <row r="1648" spans="91:102" ht="21" customHeight="1">
      <c r="CM1648" s="210"/>
      <c r="CN1648" s="213" t="s">
        <v>4727</v>
      </c>
      <c r="CO1648" s="213" t="s">
        <v>888</v>
      </c>
      <c r="CP1648" s="213" t="s">
        <v>879</v>
      </c>
      <c r="CQ1648" s="213" t="s">
        <v>4728</v>
      </c>
      <c r="CR1648" s="213" t="s">
        <v>4728</v>
      </c>
      <c r="CS1648" s="213" t="s">
        <v>4287</v>
      </c>
      <c r="CT1648" s="213" t="s">
        <v>4288</v>
      </c>
      <c r="CU1648" s="213" t="s">
        <v>1150</v>
      </c>
      <c r="CV1648" s="214" t="s">
        <v>4289</v>
      </c>
      <c r="CX1648" s="212">
        <v>1</v>
      </c>
    </row>
    <row r="1649" spans="91:102" ht="21" customHeight="1">
      <c r="CM1649" s="210"/>
      <c r="CN1649" s="213" t="s">
        <v>4729</v>
      </c>
      <c r="CO1649" s="213" t="s">
        <v>888</v>
      </c>
      <c r="CP1649" s="213" t="s">
        <v>879</v>
      </c>
      <c r="CQ1649" s="213" t="s">
        <v>4730</v>
      </c>
      <c r="CR1649" s="213" t="s">
        <v>4730</v>
      </c>
      <c r="CS1649" s="213" t="s">
        <v>881</v>
      </c>
      <c r="CT1649" s="213" t="s">
        <v>4302</v>
      </c>
      <c r="CU1649" s="213" t="s">
        <v>883</v>
      </c>
      <c r="CV1649" s="214" t="s">
        <v>884</v>
      </c>
      <c r="CX1649" s="212">
        <v>1</v>
      </c>
    </row>
    <row r="1650" spans="91:102" ht="21" customHeight="1">
      <c r="CM1650" s="210"/>
      <c r="CN1650" s="213" t="s">
        <v>4731</v>
      </c>
      <c r="CO1650" s="213" t="s">
        <v>888</v>
      </c>
      <c r="CP1650" s="213" t="s">
        <v>879</v>
      </c>
      <c r="CQ1650" s="213" t="s">
        <v>4732</v>
      </c>
      <c r="CR1650" s="213" t="s">
        <v>4732</v>
      </c>
      <c r="CS1650" s="213" t="s">
        <v>4287</v>
      </c>
      <c r="CT1650" s="213" t="s">
        <v>4288</v>
      </c>
      <c r="CU1650" s="213" t="s">
        <v>1150</v>
      </c>
      <c r="CV1650" s="214" t="s">
        <v>4289</v>
      </c>
      <c r="CX1650" s="212">
        <v>1</v>
      </c>
    </row>
    <row r="1651" spans="91:102" ht="21" customHeight="1">
      <c r="CM1651" s="210"/>
      <c r="CN1651" s="213" t="s">
        <v>4733</v>
      </c>
      <c r="CO1651" s="213" t="s">
        <v>888</v>
      </c>
      <c r="CP1651" s="213" t="s">
        <v>879</v>
      </c>
      <c r="CQ1651" s="213" t="s">
        <v>4734</v>
      </c>
      <c r="CR1651" s="213" t="s">
        <v>4735</v>
      </c>
      <c r="CS1651" s="213" t="s">
        <v>4287</v>
      </c>
      <c r="CT1651" s="213" t="s">
        <v>4288</v>
      </c>
      <c r="CU1651" s="213" t="s">
        <v>1150</v>
      </c>
      <c r="CV1651" s="214" t="s">
        <v>4289</v>
      </c>
      <c r="CX1651" s="212">
        <v>1</v>
      </c>
    </row>
    <row r="1652" spans="91:102" ht="21" customHeight="1">
      <c r="CM1652" s="210"/>
      <c r="CN1652" s="213" t="s">
        <v>4736</v>
      </c>
      <c r="CO1652" s="213" t="s">
        <v>888</v>
      </c>
      <c r="CP1652" s="213" t="s">
        <v>879</v>
      </c>
      <c r="CQ1652" s="213" t="s">
        <v>4737</v>
      </c>
      <c r="CR1652" s="213" t="s">
        <v>4738</v>
      </c>
      <c r="CS1652" s="213" t="s">
        <v>4287</v>
      </c>
      <c r="CT1652" s="213" t="s">
        <v>4288</v>
      </c>
      <c r="CU1652" s="213" t="s">
        <v>1150</v>
      </c>
      <c r="CV1652" s="214" t="s">
        <v>4289</v>
      </c>
      <c r="CX1652" s="212">
        <v>1</v>
      </c>
    </row>
    <row r="1653" spans="91:102" ht="21" customHeight="1">
      <c r="CM1653" s="210"/>
      <c r="CN1653" s="213" t="s">
        <v>4739</v>
      </c>
      <c r="CO1653" s="213" t="s">
        <v>888</v>
      </c>
      <c r="CP1653" s="213" t="s">
        <v>879</v>
      </c>
      <c r="CQ1653" s="213" t="s">
        <v>4740</v>
      </c>
      <c r="CR1653" s="213" t="s">
        <v>4740</v>
      </c>
      <c r="CS1653" s="213" t="s">
        <v>4287</v>
      </c>
      <c r="CT1653" s="213" t="s">
        <v>4288</v>
      </c>
      <c r="CU1653" s="213" t="s">
        <v>1150</v>
      </c>
      <c r="CV1653" s="214" t="s">
        <v>4289</v>
      </c>
      <c r="CX1653" s="212">
        <v>1</v>
      </c>
    </row>
    <row r="1654" spans="91:102" ht="21" customHeight="1">
      <c r="CM1654" s="210"/>
      <c r="CN1654" s="213" t="s">
        <v>4741</v>
      </c>
      <c r="CO1654" s="213" t="s">
        <v>888</v>
      </c>
      <c r="CP1654" s="213" t="s">
        <v>879</v>
      </c>
      <c r="CQ1654" s="213" t="s">
        <v>4742</v>
      </c>
      <c r="CR1654" s="213" t="s">
        <v>4742</v>
      </c>
      <c r="CS1654" s="213" t="s">
        <v>881</v>
      </c>
      <c r="CT1654" s="213" t="s">
        <v>4302</v>
      </c>
      <c r="CU1654" s="213" t="s">
        <v>883</v>
      </c>
      <c r="CV1654" s="214" t="s">
        <v>884</v>
      </c>
      <c r="CX1654" s="212">
        <v>1</v>
      </c>
    </row>
    <row r="1655" spans="91:102" ht="21" customHeight="1">
      <c r="CM1655" s="210"/>
      <c r="CN1655" s="213" t="s">
        <v>4743</v>
      </c>
      <c r="CO1655" s="213" t="s">
        <v>888</v>
      </c>
      <c r="CP1655" s="213" t="s">
        <v>879</v>
      </c>
      <c r="CQ1655" s="213" t="s">
        <v>4744</v>
      </c>
      <c r="CR1655" s="213" t="s">
        <v>4745</v>
      </c>
      <c r="CS1655" s="213" t="s">
        <v>4287</v>
      </c>
      <c r="CT1655" s="213" t="s">
        <v>4288</v>
      </c>
      <c r="CU1655" s="213" t="s">
        <v>1150</v>
      </c>
      <c r="CV1655" s="214" t="s">
        <v>4289</v>
      </c>
      <c r="CX1655" s="212">
        <v>1</v>
      </c>
    </row>
    <row r="1656" spans="91:102" ht="21" customHeight="1">
      <c r="CM1656" s="210"/>
      <c r="CN1656" s="213" t="s">
        <v>4746</v>
      </c>
      <c r="CO1656" s="213" t="s">
        <v>888</v>
      </c>
      <c r="CP1656" s="213" t="s">
        <v>879</v>
      </c>
      <c r="CQ1656" s="213" t="s">
        <v>4747</v>
      </c>
      <c r="CR1656" s="213" t="s">
        <v>4747</v>
      </c>
      <c r="CS1656" s="213" t="s">
        <v>881</v>
      </c>
      <c r="CT1656" s="213" t="s">
        <v>4302</v>
      </c>
      <c r="CU1656" s="213" t="s">
        <v>883</v>
      </c>
      <c r="CV1656" s="214" t="s">
        <v>884</v>
      </c>
      <c r="CX1656" s="212">
        <v>1</v>
      </c>
    </row>
    <row r="1657" spans="91:102" ht="21" customHeight="1">
      <c r="CM1657" s="210"/>
      <c r="CN1657" s="213" t="s">
        <v>4748</v>
      </c>
      <c r="CO1657" s="213" t="s">
        <v>888</v>
      </c>
      <c r="CP1657" s="213" t="s">
        <v>879</v>
      </c>
      <c r="CQ1657" s="213" t="s">
        <v>4749</v>
      </c>
      <c r="CR1657" s="213" t="s">
        <v>4749</v>
      </c>
      <c r="CS1657" s="213" t="s">
        <v>4287</v>
      </c>
      <c r="CT1657" s="213" t="s">
        <v>4288</v>
      </c>
      <c r="CU1657" s="213" t="s">
        <v>1150</v>
      </c>
      <c r="CV1657" s="214" t="s">
        <v>4289</v>
      </c>
      <c r="CX1657" s="212">
        <v>1</v>
      </c>
    </row>
    <row r="1658" spans="91:102" ht="21" customHeight="1">
      <c r="CM1658" s="210"/>
      <c r="CN1658" s="213" t="s">
        <v>4750</v>
      </c>
      <c r="CO1658" s="213" t="s">
        <v>888</v>
      </c>
      <c r="CP1658" s="213" t="s">
        <v>879</v>
      </c>
      <c r="CQ1658" s="213" t="s">
        <v>4751</v>
      </c>
      <c r="CR1658" s="213" t="s">
        <v>4752</v>
      </c>
      <c r="CS1658" s="213" t="s">
        <v>4287</v>
      </c>
      <c r="CT1658" s="213" t="s">
        <v>4288</v>
      </c>
      <c r="CU1658" s="213" t="s">
        <v>1150</v>
      </c>
      <c r="CV1658" s="214" t="s">
        <v>4289</v>
      </c>
      <c r="CX1658" s="212">
        <v>1</v>
      </c>
    </row>
    <row r="1659" spans="91:102" ht="21" customHeight="1">
      <c r="CM1659" s="210"/>
      <c r="CN1659" s="213" t="s">
        <v>4753</v>
      </c>
      <c r="CO1659" s="213" t="s">
        <v>888</v>
      </c>
      <c r="CP1659" s="213" t="s">
        <v>879</v>
      </c>
      <c r="CQ1659" s="213" t="s">
        <v>4754</v>
      </c>
      <c r="CR1659" s="213" t="s">
        <v>4755</v>
      </c>
      <c r="CS1659" s="213" t="s">
        <v>4287</v>
      </c>
      <c r="CT1659" s="213" t="s">
        <v>4288</v>
      </c>
      <c r="CU1659" s="213" t="s">
        <v>1150</v>
      </c>
      <c r="CV1659" s="214" t="s">
        <v>4289</v>
      </c>
      <c r="CX1659" s="212">
        <v>1</v>
      </c>
    </row>
    <row r="1660" spans="91:102" ht="21" customHeight="1">
      <c r="CM1660" s="210"/>
      <c r="CN1660" s="213" t="s">
        <v>4756</v>
      </c>
      <c r="CO1660" s="213" t="s">
        <v>888</v>
      </c>
      <c r="CP1660" s="213" t="s">
        <v>879</v>
      </c>
      <c r="CQ1660" s="213" t="s">
        <v>4757</v>
      </c>
      <c r="CR1660" s="213" t="s">
        <v>4758</v>
      </c>
      <c r="CS1660" s="213" t="s">
        <v>4287</v>
      </c>
      <c r="CT1660" s="213" t="s">
        <v>4288</v>
      </c>
      <c r="CU1660" s="213" t="s">
        <v>1150</v>
      </c>
      <c r="CV1660" s="214" t="s">
        <v>4289</v>
      </c>
      <c r="CX1660" s="212">
        <v>1</v>
      </c>
    </row>
    <row r="1661" spans="91:102" ht="21" customHeight="1">
      <c r="CM1661" s="210"/>
      <c r="CN1661" s="213" t="s">
        <v>4759</v>
      </c>
      <c r="CO1661" s="213" t="s">
        <v>888</v>
      </c>
      <c r="CP1661" s="213" t="s">
        <v>879</v>
      </c>
      <c r="CQ1661" s="213" t="s">
        <v>4760</v>
      </c>
      <c r="CR1661" s="213" t="s">
        <v>4760</v>
      </c>
      <c r="CS1661" s="213" t="s">
        <v>881</v>
      </c>
      <c r="CT1661" s="213" t="s">
        <v>4302</v>
      </c>
      <c r="CU1661" s="213" t="s">
        <v>883</v>
      </c>
      <c r="CV1661" s="214" t="s">
        <v>884</v>
      </c>
      <c r="CX1661" s="212">
        <v>1</v>
      </c>
    </row>
    <row r="1662" spans="91:102" ht="21" customHeight="1">
      <c r="CM1662" s="210"/>
      <c r="CN1662" s="213" t="s">
        <v>4761</v>
      </c>
      <c r="CO1662" s="213" t="s">
        <v>888</v>
      </c>
      <c r="CP1662" s="213" t="s">
        <v>879</v>
      </c>
      <c r="CQ1662" s="213" t="s">
        <v>4762</v>
      </c>
      <c r="CR1662" s="213" t="s">
        <v>4762</v>
      </c>
      <c r="CS1662" s="213" t="s">
        <v>4287</v>
      </c>
      <c r="CT1662" s="213" t="s">
        <v>4288</v>
      </c>
      <c r="CU1662" s="213" t="s">
        <v>1150</v>
      </c>
      <c r="CV1662" s="214" t="s">
        <v>4289</v>
      </c>
      <c r="CX1662" s="212">
        <v>1</v>
      </c>
    </row>
    <row r="1663" spans="91:102" ht="21" customHeight="1">
      <c r="CM1663" s="210"/>
      <c r="CN1663" s="213" t="s">
        <v>4763</v>
      </c>
      <c r="CO1663" s="213" t="s">
        <v>888</v>
      </c>
      <c r="CP1663" s="213" t="s">
        <v>879</v>
      </c>
      <c r="CQ1663" s="213" t="s">
        <v>4764</v>
      </c>
      <c r="CR1663" s="213" t="s">
        <v>4765</v>
      </c>
      <c r="CS1663" s="213" t="s">
        <v>4287</v>
      </c>
      <c r="CT1663" s="213" t="s">
        <v>4288</v>
      </c>
      <c r="CU1663" s="213" t="s">
        <v>1150</v>
      </c>
      <c r="CV1663" s="214" t="s">
        <v>4289</v>
      </c>
      <c r="CX1663" s="212">
        <v>1</v>
      </c>
    </row>
    <row r="1664" spans="91:102" ht="21" customHeight="1">
      <c r="CM1664" s="210"/>
      <c r="CN1664" s="213" t="s">
        <v>4766</v>
      </c>
      <c r="CO1664" s="213" t="s">
        <v>888</v>
      </c>
      <c r="CP1664" s="213" t="s">
        <v>879</v>
      </c>
      <c r="CQ1664" s="213" t="s">
        <v>4767</v>
      </c>
      <c r="CR1664" s="213" t="s">
        <v>4767</v>
      </c>
      <c r="CS1664" s="213" t="s">
        <v>4287</v>
      </c>
      <c r="CT1664" s="213" t="s">
        <v>4288</v>
      </c>
      <c r="CU1664" s="213" t="s">
        <v>1150</v>
      </c>
      <c r="CV1664" s="214" t="s">
        <v>4289</v>
      </c>
      <c r="CX1664" s="212">
        <v>1</v>
      </c>
    </row>
    <row r="1665" spans="91:102" ht="21" customHeight="1">
      <c r="CM1665" s="210"/>
      <c r="CN1665" s="213" t="s">
        <v>4768</v>
      </c>
      <c r="CO1665" s="213" t="s">
        <v>888</v>
      </c>
      <c r="CP1665" s="213" t="s">
        <v>879</v>
      </c>
      <c r="CQ1665" s="213" t="s">
        <v>4769</v>
      </c>
      <c r="CR1665" s="213" t="s">
        <v>4770</v>
      </c>
      <c r="CS1665" s="213" t="s">
        <v>4287</v>
      </c>
      <c r="CT1665" s="213" t="s">
        <v>4288</v>
      </c>
      <c r="CU1665" s="213" t="s">
        <v>1150</v>
      </c>
      <c r="CV1665" s="214" t="s">
        <v>4289</v>
      </c>
      <c r="CX1665" s="212">
        <v>1</v>
      </c>
    </row>
    <row r="1666" spans="91:102" ht="21" customHeight="1">
      <c r="CM1666" s="210"/>
      <c r="CN1666" s="213" t="s">
        <v>4771</v>
      </c>
      <c r="CO1666" s="213" t="s">
        <v>888</v>
      </c>
      <c r="CP1666" s="213" t="s">
        <v>879</v>
      </c>
      <c r="CQ1666" s="213" t="s">
        <v>4772</v>
      </c>
      <c r="CR1666" s="213" t="s">
        <v>4772</v>
      </c>
      <c r="CS1666" s="213" t="s">
        <v>881</v>
      </c>
      <c r="CT1666" s="213" t="s">
        <v>4302</v>
      </c>
      <c r="CU1666" s="213" t="s">
        <v>883</v>
      </c>
      <c r="CV1666" s="214" t="s">
        <v>884</v>
      </c>
      <c r="CX1666" s="212">
        <v>1</v>
      </c>
    </row>
    <row r="1667" spans="91:102" ht="21" customHeight="1">
      <c r="CM1667" s="210"/>
      <c r="CN1667" s="213" t="s">
        <v>4773</v>
      </c>
      <c r="CO1667" s="213" t="s">
        <v>888</v>
      </c>
      <c r="CP1667" s="213" t="s">
        <v>879</v>
      </c>
      <c r="CQ1667" s="213" t="s">
        <v>4774</v>
      </c>
      <c r="CR1667" s="213" t="s">
        <v>4774</v>
      </c>
      <c r="CS1667" s="213" t="s">
        <v>881</v>
      </c>
      <c r="CT1667" s="213" t="s">
        <v>4302</v>
      </c>
      <c r="CU1667" s="213" t="s">
        <v>883</v>
      </c>
      <c r="CV1667" s="214" t="s">
        <v>884</v>
      </c>
      <c r="CX1667" s="212">
        <v>1</v>
      </c>
    </row>
    <row r="1668" spans="91:102" ht="21" customHeight="1">
      <c r="CM1668" s="210"/>
      <c r="CN1668" s="213" t="s">
        <v>4775</v>
      </c>
      <c r="CO1668" s="213" t="s">
        <v>888</v>
      </c>
      <c r="CP1668" s="213" t="s">
        <v>879</v>
      </c>
      <c r="CQ1668" s="213" t="s">
        <v>4776</v>
      </c>
      <c r="CR1668" s="213" t="s">
        <v>4776</v>
      </c>
      <c r="CS1668" s="213" t="s">
        <v>881</v>
      </c>
      <c r="CT1668" s="213" t="s">
        <v>4302</v>
      </c>
      <c r="CU1668" s="213" t="s">
        <v>883</v>
      </c>
      <c r="CV1668" s="214" t="s">
        <v>884</v>
      </c>
      <c r="CX1668" s="212">
        <v>1</v>
      </c>
    </row>
    <row r="1669" spans="91:102" ht="21" customHeight="1">
      <c r="CM1669" s="210"/>
      <c r="CN1669" s="213" t="s">
        <v>4777</v>
      </c>
      <c r="CO1669" s="213" t="s">
        <v>888</v>
      </c>
      <c r="CP1669" s="213" t="s">
        <v>879</v>
      </c>
      <c r="CQ1669" s="213" t="s">
        <v>4778</v>
      </c>
      <c r="CR1669" s="213" t="s">
        <v>4778</v>
      </c>
      <c r="CS1669" s="213" t="s">
        <v>4287</v>
      </c>
      <c r="CT1669" s="213" t="s">
        <v>4288</v>
      </c>
      <c r="CU1669" s="213" t="s">
        <v>1150</v>
      </c>
      <c r="CV1669" s="214" t="s">
        <v>4289</v>
      </c>
      <c r="CX1669" s="212">
        <v>1</v>
      </c>
    </row>
    <row r="1670" spans="91:102" ht="21" customHeight="1">
      <c r="CM1670" s="210"/>
      <c r="CN1670" s="213" t="s">
        <v>4779</v>
      </c>
      <c r="CO1670" s="213" t="s">
        <v>888</v>
      </c>
      <c r="CP1670" s="213" t="s">
        <v>879</v>
      </c>
      <c r="CQ1670" s="213" t="s">
        <v>4780</v>
      </c>
      <c r="CR1670" s="213" t="s">
        <v>4780</v>
      </c>
      <c r="CS1670" s="213" t="s">
        <v>4287</v>
      </c>
      <c r="CT1670" s="213" t="s">
        <v>4288</v>
      </c>
      <c r="CU1670" s="213" t="s">
        <v>1150</v>
      </c>
      <c r="CV1670" s="214" t="s">
        <v>4289</v>
      </c>
      <c r="CX1670" s="212">
        <v>1</v>
      </c>
    </row>
    <row r="1671" spans="91:102" ht="21" customHeight="1">
      <c r="CM1671" s="210"/>
      <c r="CN1671" s="213" t="s">
        <v>4781</v>
      </c>
      <c r="CO1671" s="213" t="s">
        <v>888</v>
      </c>
      <c r="CP1671" s="213" t="s">
        <v>879</v>
      </c>
      <c r="CQ1671" s="213" t="s">
        <v>4782</v>
      </c>
      <c r="CR1671" s="213" t="s">
        <v>4783</v>
      </c>
      <c r="CS1671" s="213" t="s">
        <v>881</v>
      </c>
      <c r="CT1671" s="213" t="s">
        <v>4302</v>
      </c>
      <c r="CU1671" s="213" t="s">
        <v>883</v>
      </c>
      <c r="CV1671" s="214" t="s">
        <v>884</v>
      </c>
      <c r="CX1671" s="212">
        <v>1</v>
      </c>
    </row>
    <row r="1672" spans="91:102" ht="21" customHeight="1">
      <c r="CM1672" s="210"/>
      <c r="CN1672" s="213" t="s">
        <v>4784</v>
      </c>
      <c r="CO1672" s="213" t="s">
        <v>888</v>
      </c>
      <c r="CP1672" s="213" t="s">
        <v>879</v>
      </c>
      <c r="CQ1672" s="213" t="s">
        <v>4785</v>
      </c>
      <c r="CR1672" s="213" t="s">
        <v>4786</v>
      </c>
      <c r="CS1672" s="213" t="s">
        <v>4287</v>
      </c>
      <c r="CT1672" s="213" t="s">
        <v>4288</v>
      </c>
      <c r="CU1672" s="213" t="s">
        <v>1150</v>
      </c>
      <c r="CV1672" s="214" t="s">
        <v>4289</v>
      </c>
      <c r="CX1672" s="212">
        <v>1</v>
      </c>
    </row>
    <row r="1673" spans="91:102" ht="21" customHeight="1">
      <c r="CM1673" s="210"/>
      <c r="CN1673" s="213" t="s">
        <v>4787</v>
      </c>
      <c r="CO1673" s="213" t="s">
        <v>888</v>
      </c>
      <c r="CP1673" s="213" t="s">
        <v>879</v>
      </c>
      <c r="CQ1673" s="213" t="s">
        <v>4788</v>
      </c>
      <c r="CR1673" s="213" t="s">
        <v>4789</v>
      </c>
      <c r="CS1673" s="213" t="s">
        <v>4287</v>
      </c>
      <c r="CT1673" s="213" t="s">
        <v>4288</v>
      </c>
      <c r="CU1673" s="213" t="s">
        <v>1150</v>
      </c>
      <c r="CV1673" s="214" t="s">
        <v>4289</v>
      </c>
      <c r="CX1673" s="212">
        <v>1</v>
      </c>
    </row>
    <row r="1674" spans="91:102" ht="21" customHeight="1">
      <c r="CM1674" s="210"/>
      <c r="CN1674" s="213" t="s">
        <v>4790</v>
      </c>
      <c r="CO1674" s="213" t="s">
        <v>888</v>
      </c>
      <c r="CP1674" s="213" t="s">
        <v>879</v>
      </c>
      <c r="CQ1674" s="213" t="s">
        <v>4791</v>
      </c>
      <c r="CR1674" s="213" t="s">
        <v>4791</v>
      </c>
      <c r="CS1674" s="213" t="s">
        <v>881</v>
      </c>
      <c r="CT1674" s="213" t="s">
        <v>4302</v>
      </c>
      <c r="CU1674" s="213" t="s">
        <v>883</v>
      </c>
      <c r="CV1674" s="214" t="s">
        <v>884</v>
      </c>
      <c r="CX1674" s="212">
        <v>1</v>
      </c>
    </row>
    <row r="1675" spans="91:102" ht="21" customHeight="1">
      <c r="CM1675" s="210"/>
      <c r="CN1675" s="213" t="s">
        <v>4792</v>
      </c>
      <c r="CO1675" s="213" t="s">
        <v>888</v>
      </c>
      <c r="CP1675" s="213" t="s">
        <v>879</v>
      </c>
      <c r="CQ1675" s="213" t="s">
        <v>4793</v>
      </c>
      <c r="CR1675" s="213" t="s">
        <v>4794</v>
      </c>
      <c r="CS1675" s="213" t="s">
        <v>4287</v>
      </c>
      <c r="CT1675" s="213" t="s">
        <v>4288</v>
      </c>
      <c r="CU1675" s="213" t="s">
        <v>1150</v>
      </c>
      <c r="CV1675" s="214" t="s">
        <v>4289</v>
      </c>
      <c r="CX1675" s="212">
        <v>1</v>
      </c>
    </row>
    <row r="1676" spans="91:102" ht="21" customHeight="1">
      <c r="CM1676" s="210"/>
      <c r="CN1676" s="213" t="s">
        <v>4795</v>
      </c>
      <c r="CO1676" s="213" t="s">
        <v>888</v>
      </c>
      <c r="CP1676" s="213" t="s">
        <v>879</v>
      </c>
      <c r="CQ1676" s="213" t="s">
        <v>4796</v>
      </c>
      <c r="CR1676" s="213" t="s">
        <v>4797</v>
      </c>
      <c r="CS1676" s="213" t="s">
        <v>881</v>
      </c>
      <c r="CT1676" s="213" t="s">
        <v>4302</v>
      </c>
      <c r="CU1676" s="213" t="s">
        <v>883</v>
      </c>
      <c r="CV1676" s="214" t="s">
        <v>884</v>
      </c>
      <c r="CX1676" s="212">
        <v>1</v>
      </c>
    </row>
    <row r="1677" spans="91:102" ht="21" customHeight="1">
      <c r="CM1677" s="210"/>
      <c r="CN1677" s="213" t="s">
        <v>4798</v>
      </c>
      <c r="CO1677" s="213" t="s">
        <v>888</v>
      </c>
      <c r="CP1677" s="213" t="s">
        <v>879</v>
      </c>
      <c r="CQ1677" s="213" t="s">
        <v>4799</v>
      </c>
      <c r="CR1677" s="213" t="s">
        <v>4800</v>
      </c>
      <c r="CS1677" s="213" t="s">
        <v>4287</v>
      </c>
      <c r="CT1677" s="213" t="s">
        <v>4288</v>
      </c>
      <c r="CU1677" s="213" t="s">
        <v>1150</v>
      </c>
      <c r="CV1677" s="214" t="s">
        <v>4289</v>
      </c>
      <c r="CX1677" s="212">
        <v>1</v>
      </c>
    </row>
    <row r="1678" spans="91:102" ht="21" customHeight="1">
      <c r="CM1678" s="210"/>
      <c r="CN1678" s="213" t="s">
        <v>4801</v>
      </c>
      <c r="CO1678" s="213" t="s">
        <v>888</v>
      </c>
      <c r="CP1678" s="213" t="s">
        <v>879</v>
      </c>
      <c r="CQ1678" s="213" t="s">
        <v>4802</v>
      </c>
      <c r="CR1678" s="213" t="s">
        <v>4803</v>
      </c>
      <c r="CS1678" s="213" t="s">
        <v>4287</v>
      </c>
      <c r="CT1678" s="213" t="s">
        <v>4288</v>
      </c>
      <c r="CU1678" s="213" t="s">
        <v>1150</v>
      </c>
      <c r="CV1678" s="214" t="s">
        <v>4289</v>
      </c>
      <c r="CX1678" s="212">
        <v>1</v>
      </c>
    </row>
    <row r="1679" spans="91:102" ht="21" customHeight="1">
      <c r="CM1679" s="210"/>
      <c r="CN1679" s="213" t="s">
        <v>4804</v>
      </c>
      <c r="CO1679" s="213" t="s">
        <v>888</v>
      </c>
      <c r="CP1679" s="213" t="s">
        <v>879</v>
      </c>
      <c r="CQ1679" s="213" t="s">
        <v>4805</v>
      </c>
      <c r="CR1679" s="213" t="s">
        <v>4806</v>
      </c>
      <c r="CS1679" s="213" t="s">
        <v>881</v>
      </c>
      <c r="CT1679" s="213" t="s">
        <v>4302</v>
      </c>
      <c r="CU1679" s="213" t="s">
        <v>883</v>
      </c>
      <c r="CV1679" s="214" t="s">
        <v>884</v>
      </c>
      <c r="CX1679" s="212">
        <v>1</v>
      </c>
    </row>
    <row r="1680" spans="91:102" ht="21" customHeight="1">
      <c r="CM1680" s="210"/>
      <c r="CN1680" s="213" t="s">
        <v>4807</v>
      </c>
      <c r="CO1680" s="213" t="s">
        <v>888</v>
      </c>
      <c r="CP1680" s="213" t="s">
        <v>879</v>
      </c>
      <c r="CQ1680" s="213" t="s">
        <v>4808</v>
      </c>
      <c r="CR1680" s="213" t="s">
        <v>4808</v>
      </c>
      <c r="CS1680" s="213" t="s">
        <v>881</v>
      </c>
      <c r="CT1680" s="213" t="s">
        <v>4302</v>
      </c>
      <c r="CU1680" s="213" t="s">
        <v>883</v>
      </c>
      <c r="CV1680" s="214" t="s">
        <v>884</v>
      </c>
      <c r="CX1680" s="212">
        <v>1</v>
      </c>
    </row>
    <row r="1681" spans="91:102" ht="21" customHeight="1">
      <c r="CM1681" s="210"/>
      <c r="CN1681" s="213" t="s">
        <v>4809</v>
      </c>
      <c r="CO1681" s="213" t="s">
        <v>888</v>
      </c>
      <c r="CP1681" s="213" t="s">
        <v>879</v>
      </c>
      <c r="CQ1681" s="213" t="s">
        <v>4810</v>
      </c>
      <c r="CR1681" s="213" t="s">
        <v>4810</v>
      </c>
      <c r="CS1681" s="213" t="s">
        <v>4287</v>
      </c>
      <c r="CT1681" s="213" t="s">
        <v>4288</v>
      </c>
      <c r="CU1681" s="213" t="s">
        <v>1150</v>
      </c>
      <c r="CV1681" s="214" t="s">
        <v>4289</v>
      </c>
      <c r="CX1681" s="212">
        <v>1</v>
      </c>
    </row>
    <row r="1682" spans="91:102" ht="21" customHeight="1">
      <c r="CM1682" s="210"/>
      <c r="CN1682" s="213" t="s">
        <v>4811</v>
      </c>
      <c r="CO1682" s="213" t="s">
        <v>888</v>
      </c>
      <c r="CP1682" s="213" t="s">
        <v>879</v>
      </c>
      <c r="CQ1682" s="213" t="s">
        <v>4812</v>
      </c>
      <c r="CR1682" s="213" t="s">
        <v>4812</v>
      </c>
      <c r="CS1682" s="213" t="s">
        <v>4287</v>
      </c>
      <c r="CT1682" s="213" t="s">
        <v>4288</v>
      </c>
      <c r="CU1682" s="213" t="s">
        <v>1150</v>
      </c>
      <c r="CV1682" s="214" t="s">
        <v>4289</v>
      </c>
      <c r="CX1682" s="212">
        <v>1</v>
      </c>
    </row>
    <row r="1683" spans="91:102" ht="21" customHeight="1">
      <c r="CM1683" s="210"/>
      <c r="CN1683" s="213" t="s">
        <v>4813</v>
      </c>
      <c r="CO1683" s="213" t="s">
        <v>888</v>
      </c>
      <c r="CP1683" s="213" t="s">
        <v>879</v>
      </c>
      <c r="CQ1683" s="213" t="s">
        <v>4814</v>
      </c>
      <c r="CR1683" s="213" t="s">
        <v>4814</v>
      </c>
      <c r="CS1683" s="213" t="s">
        <v>4287</v>
      </c>
      <c r="CT1683" s="213" t="s">
        <v>4288</v>
      </c>
      <c r="CU1683" s="213" t="s">
        <v>1150</v>
      </c>
      <c r="CV1683" s="214" t="s">
        <v>4289</v>
      </c>
      <c r="CX1683" s="212">
        <v>1</v>
      </c>
    </row>
    <row r="1684" spans="91:102" ht="21" customHeight="1">
      <c r="CM1684" s="210"/>
      <c r="CN1684" s="213" t="s">
        <v>4815</v>
      </c>
      <c r="CO1684" s="213" t="s">
        <v>888</v>
      </c>
      <c r="CP1684" s="213" t="s">
        <v>879</v>
      </c>
      <c r="CQ1684" s="213" t="s">
        <v>4816</v>
      </c>
      <c r="CR1684" s="213" t="s">
        <v>4816</v>
      </c>
      <c r="CS1684" s="213" t="s">
        <v>881</v>
      </c>
      <c r="CT1684" s="213" t="s">
        <v>4302</v>
      </c>
      <c r="CU1684" s="213" t="s">
        <v>883</v>
      </c>
      <c r="CV1684" s="214" t="s">
        <v>884</v>
      </c>
      <c r="CX1684" s="212">
        <v>1</v>
      </c>
    </row>
    <row r="1685" spans="91:102" ht="21" customHeight="1">
      <c r="CM1685" s="210"/>
      <c r="CN1685" s="213" t="s">
        <v>4817</v>
      </c>
      <c r="CO1685" s="213" t="s">
        <v>888</v>
      </c>
      <c r="CP1685" s="213" t="s">
        <v>879</v>
      </c>
      <c r="CQ1685" s="213" t="s">
        <v>4818</v>
      </c>
      <c r="CR1685" s="213" t="s">
        <v>4818</v>
      </c>
      <c r="CS1685" s="213" t="s">
        <v>881</v>
      </c>
      <c r="CT1685" s="213" t="s">
        <v>4302</v>
      </c>
      <c r="CU1685" s="213" t="s">
        <v>883</v>
      </c>
      <c r="CV1685" s="214" t="s">
        <v>884</v>
      </c>
      <c r="CX1685" s="212">
        <v>1</v>
      </c>
    </row>
    <row r="1686" spans="91:102" ht="21" customHeight="1">
      <c r="CM1686" s="210"/>
      <c r="CN1686" s="213" t="s">
        <v>4819</v>
      </c>
      <c r="CO1686" s="213" t="s">
        <v>888</v>
      </c>
      <c r="CP1686" s="213" t="s">
        <v>879</v>
      </c>
      <c r="CQ1686" s="213" t="s">
        <v>4820</v>
      </c>
      <c r="CR1686" s="213" t="s">
        <v>4820</v>
      </c>
      <c r="CS1686" s="213" t="s">
        <v>4287</v>
      </c>
      <c r="CT1686" s="213" t="s">
        <v>4288</v>
      </c>
      <c r="CU1686" s="213" t="s">
        <v>1150</v>
      </c>
      <c r="CV1686" s="214" t="s">
        <v>4289</v>
      </c>
      <c r="CX1686" s="212">
        <v>1</v>
      </c>
    </row>
    <row r="1687" spans="91:102" ht="21" customHeight="1">
      <c r="CM1687" s="210"/>
      <c r="CN1687" s="213" t="s">
        <v>4821</v>
      </c>
      <c r="CO1687" s="213" t="s">
        <v>888</v>
      </c>
      <c r="CP1687" s="213" t="s">
        <v>879</v>
      </c>
      <c r="CQ1687" s="213" t="s">
        <v>4822</v>
      </c>
      <c r="CR1687" s="213" t="s">
        <v>4822</v>
      </c>
      <c r="CS1687" s="213" t="s">
        <v>881</v>
      </c>
      <c r="CT1687" s="213" t="s">
        <v>4302</v>
      </c>
      <c r="CU1687" s="213" t="s">
        <v>883</v>
      </c>
      <c r="CV1687" s="214" t="s">
        <v>884</v>
      </c>
      <c r="CX1687" s="212">
        <v>1</v>
      </c>
    </row>
    <row r="1688" spans="91:102" ht="21" customHeight="1">
      <c r="CM1688" s="210"/>
      <c r="CN1688" s="213" t="s">
        <v>4823</v>
      </c>
      <c r="CO1688" s="213" t="s">
        <v>888</v>
      </c>
      <c r="CP1688" s="213" t="s">
        <v>879</v>
      </c>
      <c r="CQ1688" s="213" t="s">
        <v>4824</v>
      </c>
      <c r="CR1688" s="213" t="s">
        <v>4824</v>
      </c>
      <c r="CS1688" s="213" t="s">
        <v>4287</v>
      </c>
      <c r="CT1688" s="213" t="s">
        <v>4288</v>
      </c>
      <c r="CU1688" s="213" t="s">
        <v>1150</v>
      </c>
      <c r="CV1688" s="214" t="s">
        <v>4289</v>
      </c>
      <c r="CX1688" s="212">
        <v>1</v>
      </c>
    </row>
    <row r="1689" spans="91:102" ht="21" customHeight="1">
      <c r="CM1689" s="210"/>
      <c r="CN1689" s="213" t="s">
        <v>4825</v>
      </c>
      <c r="CO1689" s="213" t="s">
        <v>888</v>
      </c>
      <c r="CP1689" s="213" t="s">
        <v>879</v>
      </c>
      <c r="CQ1689" s="213" t="s">
        <v>4826</v>
      </c>
      <c r="CR1689" s="213" t="s">
        <v>4826</v>
      </c>
      <c r="CS1689" s="213" t="s">
        <v>4287</v>
      </c>
      <c r="CT1689" s="213" t="s">
        <v>4288</v>
      </c>
      <c r="CU1689" s="213" t="s">
        <v>1150</v>
      </c>
      <c r="CV1689" s="214" t="s">
        <v>4289</v>
      </c>
      <c r="CX1689" s="212">
        <v>1</v>
      </c>
    </row>
    <row r="1690" spans="91:102" ht="21" customHeight="1">
      <c r="CM1690" s="210"/>
      <c r="CN1690" s="213" t="s">
        <v>4827</v>
      </c>
      <c r="CO1690" s="213" t="s">
        <v>888</v>
      </c>
      <c r="CP1690" s="213" t="s">
        <v>879</v>
      </c>
      <c r="CQ1690" s="213" t="s">
        <v>4828</v>
      </c>
      <c r="CR1690" s="213" t="s">
        <v>4828</v>
      </c>
      <c r="CS1690" s="213" t="s">
        <v>881</v>
      </c>
      <c r="CT1690" s="213" t="s">
        <v>4302</v>
      </c>
      <c r="CU1690" s="213" t="s">
        <v>883</v>
      </c>
      <c r="CV1690" s="214" t="s">
        <v>884</v>
      </c>
      <c r="CX1690" s="212">
        <v>1</v>
      </c>
    </row>
    <row r="1691" spans="91:102" ht="21" customHeight="1">
      <c r="CM1691" s="210"/>
      <c r="CN1691" s="213" t="s">
        <v>4829</v>
      </c>
      <c r="CO1691" s="213" t="s">
        <v>888</v>
      </c>
      <c r="CP1691" s="213" t="s">
        <v>879</v>
      </c>
      <c r="CQ1691" s="213" t="s">
        <v>4830</v>
      </c>
      <c r="CR1691" s="213" t="s">
        <v>4831</v>
      </c>
      <c r="CS1691" s="213" t="s">
        <v>4287</v>
      </c>
      <c r="CT1691" s="213" t="s">
        <v>4288</v>
      </c>
      <c r="CU1691" s="213" t="s">
        <v>1150</v>
      </c>
      <c r="CV1691" s="214" t="s">
        <v>4289</v>
      </c>
      <c r="CX1691" s="212">
        <v>1</v>
      </c>
    </row>
    <row r="1692" spans="91:102" ht="21" customHeight="1">
      <c r="CM1692" s="210"/>
      <c r="CN1692" s="213" t="s">
        <v>4832</v>
      </c>
      <c r="CO1692" s="213" t="s">
        <v>888</v>
      </c>
      <c r="CP1692" s="213" t="s">
        <v>879</v>
      </c>
      <c r="CQ1692" s="213" t="s">
        <v>4833</v>
      </c>
      <c r="CR1692" s="213" t="s">
        <v>4834</v>
      </c>
      <c r="CS1692" s="213" t="s">
        <v>4287</v>
      </c>
      <c r="CT1692" s="213" t="s">
        <v>4288</v>
      </c>
      <c r="CU1692" s="213" t="s">
        <v>1150</v>
      </c>
      <c r="CV1692" s="214" t="s">
        <v>4289</v>
      </c>
      <c r="CX1692" s="212">
        <v>1</v>
      </c>
    </row>
    <row r="1693" spans="91:102" ht="21" customHeight="1">
      <c r="CM1693" s="210"/>
      <c r="CN1693" s="213" t="s">
        <v>4835</v>
      </c>
      <c r="CO1693" s="213" t="s">
        <v>888</v>
      </c>
      <c r="CP1693" s="213" t="s">
        <v>879</v>
      </c>
      <c r="CQ1693" s="213" t="s">
        <v>4836</v>
      </c>
      <c r="CR1693" s="213" t="s">
        <v>4837</v>
      </c>
      <c r="CS1693" s="213" t="s">
        <v>4287</v>
      </c>
      <c r="CT1693" s="213" t="s">
        <v>4288</v>
      </c>
      <c r="CU1693" s="213" t="s">
        <v>1150</v>
      </c>
      <c r="CV1693" s="214" t="s">
        <v>4289</v>
      </c>
      <c r="CX1693" s="212">
        <v>1</v>
      </c>
    </row>
    <row r="1694" spans="91:102" ht="21" customHeight="1">
      <c r="CM1694" s="210"/>
      <c r="CN1694" s="213" t="s">
        <v>4838</v>
      </c>
      <c r="CO1694" s="213" t="s">
        <v>888</v>
      </c>
      <c r="CP1694" s="213" t="s">
        <v>879</v>
      </c>
      <c r="CQ1694" s="213" t="s">
        <v>4839</v>
      </c>
      <c r="CR1694" s="213" t="s">
        <v>4839</v>
      </c>
      <c r="CS1694" s="213" t="s">
        <v>881</v>
      </c>
      <c r="CT1694" s="213" t="s">
        <v>4302</v>
      </c>
      <c r="CU1694" s="213" t="s">
        <v>883</v>
      </c>
      <c r="CV1694" s="214" t="s">
        <v>884</v>
      </c>
      <c r="CX1694" s="212">
        <v>1</v>
      </c>
    </row>
    <row r="1695" spans="91:102" ht="21" customHeight="1">
      <c r="CM1695" s="210"/>
      <c r="CN1695" s="213" t="s">
        <v>4840</v>
      </c>
      <c r="CO1695" s="213" t="s">
        <v>888</v>
      </c>
      <c r="CP1695" s="213" t="s">
        <v>879</v>
      </c>
      <c r="CQ1695" s="213" t="s">
        <v>4841</v>
      </c>
      <c r="CR1695" s="213" t="s">
        <v>4842</v>
      </c>
      <c r="CS1695" s="213" t="s">
        <v>4287</v>
      </c>
      <c r="CT1695" s="213" t="s">
        <v>4288</v>
      </c>
      <c r="CU1695" s="213" t="s">
        <v>1150</v>
      </c>
      <c r="CV1695" s="214" t="s">
        <v>4289</v>
      </c>
      <c r="CX1695" s="212">
        <v>1</v>
      </c>
    </row>
    <row r="1696" spans="91:102" ht="21" customHeight="1">
      <c r="CM1696" s="210"/>
      <c r="CN1696" s="213" t="s">
        <v>4843</v>
      </c>
      <c r="CO1696" s="213" t="s">
        <v>888</v>
      </c>
      <c r="CP1696" s="213" t="s">
        <v>879</v>
      </c>
      <c r="CQ1696" s="213" t="s">
        <v>4844</v>
      </c>
      <c r="CR1696" s="213" t="s">
        <v>4844</v>
      </c>
      <c r="CS1696" s="213" t="s">
        <v>881</v>
      </c>
      <c r="CT1696" s="213" t="s">
        <v>4302</v>
      </c>
      <c r="CU1696" s="213" t="s">
        <v>883</v>
      </c>
      <c r="CV1696" s="214" t="s">
        <v>884</v>
      </c>
      <c r="CX1696" s="212">
        <v>1</v>
      </c>
    </row>
    <row r="1697" spans="91:102" ht="21" customHeight="1">
      <c r="CM1697" s="210"/>
      <c r="CN1697" s="213" t="s">
        <v>4845</v>
      </c>
      <c r="CO1697" s="213" t="s">
        <v>888</v>
      </c>
      <c r="CP1697" s="213" t="s">
        <v>879</v>
      </c>
      <c r="CQ1697" s="213" t="s">
        <v>4846</v>
      </c>
      <c r="CR1697" s="213" t="s">
        <v>4847</v>
      </c>
      <c r="CS1697" s="213" t="s">
        <v>4287</v>
      </c>
      <c r="CT1697" s="213" t="s">
        <v>4288</v>
      </c>
      <c r="CU1697" s="213" t="s">
        <v>1150</v>
      </c>
      <c r="CV1697" s="214" t="s">
        <v>4289</v>
      </c>
      <c r="CX1697" s="212">
        <v>1</v>
      </c>
    </row>
    <row r="1698" spans="91:102" ht="21" customHeight="1">
      <c r="CM1698" s="210"/>
      <c r="CN1698" s="213" t="s">
        <v>4848</v>
      </c>
      <c r="CO1698" s="213" t="s">
        <v>888</v>
      </c>
      <c r="CP1698" s="213" t="s">
        <v>879</v>
      </c>
      <c r="CQ1698" s="213" t="s">
        <v>4849</v>
      </c>
      <c r="CR1698" s="213" t="s">
        <v>4849</v>
      </c>
      <c r="CS1698" s="213" t="s">
        <v>4287</v>
      </c>
      <c r="CT1698" s="213" t="s">
        <v>4288</v>
      </c>
      <c r="CU1698" s="213" t="s">
        <v>1150</v>
      </c>
      <c r="CV1698" s="214" t="s">
        <v>4289</v>
      </c>
      <c r="CX1698" s="212">
        <v>1</v>
      </c>
    </row>
    <row r="1699" spans="91:102" ht="21" customHeight="1">
      <c r="CM1699" s="210"/>
      <c r="CN1699" s="213" t="s">
        <v>4850</v>
      </c>
      <c r="CO1699" s="213" t="s">
        <v>888</v>
      </c>
      <c r="CP1699" s="213" t="s">
        <v>879</v>
      </c>
      <c r="CQ1699" s="213" t="s">
        <v>4851</v>
      </c>
      <c r="CR1699" s="213" t="s">
        <v>4851</v>
      </c>
      <c r="CS1699" s="213" t="s">
        <v>4287</v>
      </c>
      <c r="CT1699" s="213" t="s">
        <v>4288</v>
      </c>
      <c r="CU1699" s="213" t="s">
        <v>1150</v>
      </c>
      <c r="CV1699" s="214" t="s">
        <v>4289</v>
      </c>
      <c r="CX1699" s="212">
        <v>1</v>
      </c>
    </row>
    <row r="1700" spans="91:102" ht="21" customHeight="1">
      <c r="CM1700" s="210"/>
      <c r="CN1700" s="213" t="s">
        <v>4852</v>
      </c>
      <c r="CO1700" s="213" t="s">
        <v>888</v>
      </c>
      <c r="CP1700" s="213" t="s">
        <v>879</v>
      </c>
      <c r="CQ1700" s="213" t="s">
        <v>4853</v>
      </c>
      <c r="CR1700" s="213" t="s">
        <v>4854</v>
      </c>
      <c r="CS1700" s="213" t="s">
        <v>4287</v>
      </c>
      <c r="CT1700" s="213" t="s">
        <v>4288</v>
      </c>
      <c r="CU1700" s="213" t="s">
        <v>1150</v>
      </c>
      <c r="CV1700" s="214" t="s">
        <v>4289</v>
      </c>
      <c r="CX1700" s="212">
        <v>1</v>
      </c>
    </row>
    <row r="1701" spans="91:102" ht="21" customHeight="1">
      <c r="CM1701" s="210"/>
      <c r="CN1701" s="213" t="s">
        <v>4855</v>
      </c>
      <c r="CO1701" s="213" t="s">
        <v>888</v>
      </c>
      <c r="CP1701" s="213" t="s">
        <v>879</v>
      </c>
      <c r="CQ1701" s="213" t="s">
        <v>4856</v>
      </c>
      <c r="CR1701" s="213" t="s">
        <v>4856</v>
      </c>
      <c r="CS1701" s="213" t="s">
        <v>4287</v>
      </c>
      <c r="CT1701" s="213" t="s">
        <v>4288</v>
      </c>
      <c r="CU1701" s="213" t="s">
        <v>1150</v>
      </c>
      <c r="CV1701" s="214" t="s">
        <v>4289</v>
      </c>
      <c r="CX1701" s="212">
        <v>1</v>
      </c>
    </row>
    <row r="1702" spans="91:102" ht="21" customHeight="1">
      <c r="CM1702" s="210"/>
      <c r="CN1702" s="213" t="s">
        <v>4857</v>
      </c>
      <c r="CO1702" s="213" t="s">
        <v>888</v>
      </c>
      <c r="CP1702" s="213" t="s">
        <v>879</v>
      </c>
      <c r="CQ1702" s="213" t="s">
        <v>4858</v>
      </c>
      <c r="CR1702" s="213" t="s">
        <v>4858</v>
      </c>
      <c r="CS1702" s="213" t="s">
        <v>881</v>
      </c>
      <c r="CT1702" s="213" t="s">
        <v>4302</v>
      </c>
      <c r="CU1702" s="213" t="s">
        <v>883</v>
      </c>
      <c r="CV1702" s="214" t="s">
        <v>884</v>
      </c>
      <c r="CX1702" s="212">
        <v>1</v>
      </c>
    </row>
    <row r="1703" spans="91:102" ht="21" customHeight="1">
      <c r="CM1703" s="210"/>
      <c r="CN1703" s="213" t="s">
        <v>4859</v>
      </c>
      <c r="CO1703" s="213" t="s">
        <v>888</v>
      </c>
      <c r="CP1703" s="213" t="s">
        <v>879</v>
      </c>
      <c r="CQ1703" s="213" t="s">
        <v>4860</v>
      </c>
      <c r="CR1703" s="213" t="s">
        <v>4861</v>
      </c>
      <c r="CS1703" s="213" t="s">
        <v>4287</v>
      </c>
      <c r="CT1703" s="213" t="s">
        <v>4288</v>
      </c>
      <c r="CU1703" s="213" t="s">
        <v>1150</v>
      </c>
      <c r="CV1703" s="214" t="s">
        <v>4289</v>
      </c>
      <c r="CX1703" s="212">
        <v>1</v>
      </c>
    </row>
    <row r="1704" spans="91:102" ht="21" customHeight="1">
      <c r="CM1704" s="210"/>
      <c r="CN1704" s="213" t="s">
        <v>4862</v>
      </c>
      <c r="CO1704" s="213" t="s">
        <v>888</v>
      </c>
      <c r="CP1704" s="213" t="s">
        <v>879</v>
      </c>
      <c r="CQ1704" s="213" t="s">
        <v>4863</v>
      </c>
      <c r="CR1704" s="213" t="s">
        <v>4864</v>
      </c>
      <c r="CS1704" s="213" t="s">
        <v>4287</v>
      </c>
      <c r="CT1704" s="213" t="s">
        <v>4288</v>
      </c>
      <c r="CU1704" s="213" t="s">
        <v>1150</v>
      </c>
      <c r="CV1704" s="214" t="s">
        <v>4289</v>
      </c>
      <c r="CX1704" s="212">
        <v>1</v>
      </c>
    </row>
    <row r="1705" spans="91:102" ht="21" customHeight="1">
      <c r="CM1705" s="210"/>
      <c r="CN1705" s="213" t="s">
        <v>4865</v>
      </c>
      <c r="CO1705" s="213" t="s">
        <v>888</v>
      </c>
      <c r="CP1705" s="213" t="s">
        <v>879</v>
      </c>
      <c r="CQ1705" s="213" t="s">
        <v>4866</v>
      </c>
      <c r="CR1705" s="213" t="s">
        <v>4866</v>
      </c>
      <c r="CS1705" s="213" t="s">
        <v>4287</v>
      </c>
      <c r="CT1705" s="213" t="s">
        <v>4288</v>
      </c>
      <c r="CU1705" s="213" t="s">
        <v>1150</v>
      </c>
      <c r="CV1705" s="214" t="s">
        <v>4289</v>
      </c>
      <c r="CX1705" s="212">
        <v>1</v>
      </c>
    </row>
    <row r="1706" spans="91:102" ht="21" customHeight="1">
      <c r="CM1706" s="210"/>
      <c r="CN1706" s="213" t="s">
        <v>4867</v>
      </c>
      <c r="CO1706" s="213" t="s">
        <v>888</v>
      </c>
      <c r="CP1706" s="213" t="s">
        <v>879</v>
      </c>
      <c r="CQ1706" s="213" t="s">
        <v>4868</v>
      </c>
      <c r="CR1706" s="213" t="s">
        <v>4868</v>
      </c>
      <c r="CS1706" s="213" t="s">
        <v>881</v>
      </c>
      <c r="CT1706" s="213" t="s">
        <v>4302</v>
      </c>
      <c r="CU1706" s="213" t="s">
        <v>883</v>
      </c>
      <c r="CV1706" s="214" t="s">
        <v>884</v>
      </c>
      <c r="CX1706" s="212">
        <v>1</v>
      </c>
    </row>
    <row r="1707" spans="91:102" ht="21" customHeight="1">
      <c r="CM1707" s="210"/>
      <c r="CN1707" s="213" t="s">
        <v>4869</v>
      </c>
      <c r="CO1707" s="213" t="s">
        <v>888</v>
      </c>
      <c r="CP1707" s="213" t="s">
        <v>879</v>
      </c>
      <c r="CQ1707" s="213" t="s">
        <v>4870</v>
      </c>
      <c r="CR1707" s="213" t="s">
        <v>4871</v>
      </c>
      <c r="CS1707" s="213" t="s">
        <v>881</v>
      </c>
      <c r="CT1707" s="213" t="s">
        <v>4302</v>
      </c>
      <c r="CU1707" s="213" t="s">
        <v>883</v>
      </c>
      <c r="CV1707" s="214" t="s">
        <v>884</v>
      </c>
      <c r="CX1707" s="212">
        <v>1</v>
      </c>
    </row>
    <row r="1708" spans="91:102" ht="21" customHeight="1">
      <c r="CM1708" s="210"/>
      <c r="CN1708" s="213" t="s">
        <v>4872</v>
      </c>
      <c r="CO1708" s="213" t="s">
        <v>888</v>
      </c>
      <c r="CP1708" s="213" t="s">
        <v>879</v>
      </c>
      <c r="CQ1708" s="213" t="s">
        <v>4873</v>
      </c>
      <c r="CR1708" s="213" t="s">
        <v>4873</v>
      </c>
      <c r="CS1708" s="213" t="s">
        <v>4287</v>
      </c>
      <c r="CT1708" s="213" t="s">
        <v>4288</v>
      </c>
      <c r="CU1708" s="213" t="s">
        <v>1150</v>
      </c>
      <c r="CV1708" s="214" t="s">
        <v>4289</v>
      </c>
      <c r="CX1708" s="212">
        <v>1</v>
      </c>
    </row>
    <row r="1709" spans="91:102" ht="21" customHeight="1">
      <c r="CM1709" s="210"/>
      <c r="CN1709" s="213" t="s">
        <v>4874</v>
      </c>
      <c r="CO1709" s="213" t="s">
        <v>888</v>
      </c>
      <c r="CP1709" s="213" t="s">
        <v>879</v>
      </c>
      <c r="CQ1709" s="213" t="s">
        <v>4875</v>
      </c>
      <c r="CR1709" s="213" t="s">
        <v>4875</v>
      </c>
      <c r="CS1709" s="213" t="s">
        <v>4287</v>
      </c>
      <c r="CT1709" s="213" t="s">
        <v>4288</v>
      </c>
      <c r="CU1709" s="213" t="s">
        <v>1150</v>
      </c>
      <c r="CV1709" s="214" t="s">
        <v>4289</v>
      </c>
      <c r="CX1709" s="212">
        <v>1</v>
      </c>
    </row>
    <row r="1710" spans="91:102" ht="21" customHeight="1">
      <c r="CM1710" s="210"/>
      <c r="CN1710" s="213" t="s">
        <v>4876</v>
      </c>
      <c r="CO1710" s="213" t="s">
        <v>888</v>
      </c>
      <c r="CP1710" s="213" t="s">
        <v>879</v>
      </c>
      <c r="CQ1710" s="213" t="s">
        <v>4877</v>
      </c>
      <c r="CR1710" s="213" t="s">
        <v>4877</v>
      </c>
      <c r="CS1710" s="213" t="s">
        <v>4287</v>
      </c>
      <c r="CT1710" s="213" t="s">
        <v>4288</v>
      </c>
      <c r="CU1710" s="213" t="s">
        <v>1150</v>
      </c>
      <c r="CV1710" s="214" t="s">
        <v>4289</v>
      </c>
      <c r="CX1710" s="212">
        <v>1</v>
      </c>
    </row>
    <row r="1711" spans="91:102" ht="21" customHeight="1">
      <c r="CM1711" s="210"/>
      <c r="CN1711" s="213" t="s">
        <v>4878</v>
      </c>
      <c r="CO1711" s="213" t="s">
        <v>888</v>
      </c>
      <c r="CP1711" s="213" t="s">
        <v>879</v>
      </c>
      <c r="CQ1711" s="213" t="s">
        <v>4879</v>
      </c>
      <c r="CR1711" s="213" t="s">
        <v>4879</v>
      </c>
      <c r="CS1711" s="213" t="s">
        <v>881</v>
      </c>
      <c r="CT1711" s="213" t="s">
        <v>4302</v>
      </c>
      <c r="CU1711" s="213" t="s">
        <v>883</v>
      </c>
      <c r="CV1711" s="214" t="s">
        <v>884</v>
      </c>
      <c r="CX1711" s="212">
        <v>1</v>
      </c>
    </row>
    <row r="1712" spans="91:102" ht="21" customHeight="1">
      <c r="CM1712" s="210"/>
      <c r="CN1712" s="213" t="s">
        <v>4880</v>
      </c>
      <c r="CO1712" s="213" t="s">
        <v>888</v>
      </c>
      <c r="CP1712" s="213" t="s">
        <v>879</v>
      </c>
      <c r="CQ1712" s="213" t="s">
        <v>4881</v>
      </c>
      <c r="CR1712" s="213" t="s">
        <v>4881</v>
      </c>
      <c r="CS1712" s="213" t="s">
        <v>4287</v>
      </c>
      <c r="CT1712" s="213" t="s">
        <v>4288</v>
      </c>
      <c r="CU1712" s="213" t="s">
        <v>1150</v>
      </c>
      <c r="CV1712" s="214" t="s">
        <v>4289</v>
      </c>
      <c r="CX1712" s="212">
        <v>1</v>
      </c>
    </row>
    <row r="1713" spans="91:102" ht="21" customHeight="1">
      <c r="CM1713" s="210"/>
      <c r="CN1713" s="213" t="s">
        <v>4882</v>
      </c>
      <c r="CO1713" s="213" t="s">
        <v>888</v>
      </c>
      <c r="CP1713" s="213" t="s">
        <v>879</v>
      </c>
      <c r="CQ1713" s="213" t="s">
        <v>4883</v>
      </c>
      <c r="CR1713" s="213" t="s">
        <v>4883</v>
      </c>
      <c r="CS1713" s="213" t="s">
        <v>4287</v>
      </c>
      <c r="CT1713" s="213" t="s">
        <v>4288</v>
      </c>
      <c r="CU1713" s="213" t="s">
        <v>1150</v>
      </c>
      <c r="CV1713" s="214" t="s">
        <v>4289</v>
      </c>
      <c r="CX1713" s="212">
        <v>1</v>
      </c>
    </row>
    <row r="1714" spans="91:102" ht="21" customHeight="1">
      <c r="CM1714" s="210"/>
      <c r="CN1714" s="213" t="s">
        <v>4884</v>
      </c>
      <c r="CO1714" s="213" t="s">
        <v>888</v>
      </c>
      <c r="CP1714" s="213" t="s">
        <v>879</v>
      </c>
      <c r="CQ1714" s="213" t="s">
        <v>4885</v>
      </c>
      <c r="CR1714" s="213" t="s">
        <v>4885</v>
      </c>
      <c r="CS1714" s="213" t="s">
        <v>4287</v>
      </c>
      <c r="CT1714" s="213" t="s">
        <v>4288</v>
      </c>
      <c r="CU1714" s="213" t="s">
        <v>1150</v>
      </c>
      <c r="CV1714" s="214" t="s">
        <v>4289</v>
      </c>
      <c r="CX1714" s="212">
        <v>1</v>
      </c>
    </row>
    <row r="1715" spans="91:102" ht="21" customHeight="1">
      <c r="CM1715" s="210"/>
      <c r="CN1715" s="213" t="s">
        <v>4886</v>
      </c>
      <c r="CO1715" s="213" t="s">
        <v>888</v>
      </c>
      <c r="CP1715" s="213" t="s">
        <v>879</v>
      </c>
      <c r="CQ1715" s="213" t="s">
        <v>4887</v>
      </c>
      <c r="CR1715" s="213" t="s">
        <v>4887</v>
      </c>
      <c r="CS1715" s="213" t="s">
        <v>4287</v>
      </c>
      <c r="CT1715" s="213" t="s">
        <v>4288</v>
      </c>
      <c r="CU1715" s="213" t="s">
        <v>1150</v>
      </c>
      <c r="CV1715" s="214" t="s">
        <v>4289</v>
      </c>
      <c r="CX1715" s="212">
        <v>1</v>
      </c>
    </row>
    <row r="1716" spans="91:102" ht="21" customHeight="1">
      <c r="CM1716" s="210"/>
      <c r="CN1716" s="213" t="s">
        <v>4888</v>
      </c>
      <c r="CO1716" s="213" t="s">
        <v>888</v>
      </c>
      <c r="CP1716" s="213" t="s">
        <v>879</v>
      </c>
      <c r="CQ1716" s="213" t="s">
        <v>4889</v>
      </c>
      <c r="CR1716" s="213" t="s">
        <v>4889</v>
      </c>
      <c r="CS1716" s="213" t="s">
        <v>4287</v>
      </c>
      <c r="CT1716" s="213" t="s">
        <v>4288</v>
      </c>
      <c r="CU1716" s="213" t="s">
        <v>1150</v>
      </c>
      <c r="CV1716" s="214" t="s">
        <v>4289</v>
      </c>
      <c r="CX1716" s="212">
        <v>1</v>
      </c>
    </row>
    <row r="1717" spans="91:102" ht="21" customHeight="1">
      <c r="CM1717" s="210"/>
      <c r="CN1717" s="213" t="s">
        <v>4890</v>
      </c>
      <c r="CO1717" s="213" t="s">
        <v>888</v>
      </c>
      <c r="CP1717" s="213" t="s">
        <v>879</v>
      </c>
      <c r="CQ1717" s="213" t="s">
        <v>4891</v>
      </c>
      <c r="CR1717" s="213" t="s">
        <v>4892</v>
      </c>
      <c r="CS1717" s="213" t="s">
        <v>4287</v>
      </c>
      <c r="CT1717" s="213" t="s">
        <v>4288</v>
      </c>
      <c r="CU1717" s="213" t="s">
        <v>1150</v>
      </c>
      <c r="CV1717" s="214" t="s">
        <v>4289</v>
      </c>
      <c r="CX1717" s="212">
        <v>1</v>
      </c>
    </row>
    <row r="1718" spans="91:102" ht="21" customHeight="1">
      <c r="CM1718" s="210"/>
      <c r="CN1718" s="213" t="s">
        <v>4893</v>
      </c>
      <c r="CO1718" s="213" t="s">
        <v>888</v>
      </c>
      <c r="CP1718" s="213" t="s">
        <v>879</v>
      </c>
      <c r="CQ1718" s="213" t="s">
        <v>4894</v>
      </c>
      <c r="CR1718" s="213" t="s">
        <v>4894</v>
      </c>
      <c r="CS1718" s="213" t="s">
        <v>4287</v>
      </c>
      <c r="CT1718" s="213" t="s">
        <v>4288</v>
      </c>
      <c r="CU1718" s="213" t="s">
        <v>1150</v>
      </c>
      <c r="CV1718" s="214" t="s">
        <v>4289</v>
      </c>
      <c r="CX1718" s="212">
        <v>1</v>
      </c>
    </row>
    <row r="1719" spans="91:102" ht="21" customHeight="1">
      <c r="CM1719" s="210"/>
      <c r="CN1719" s="213" t="s">
        <v>4895</v>
      </c>
      <c r="CO1719" s="213" t="s">
        <v>888</v>
      </c>
      <c r="CP1719" s="213" t="s">
        <v>879</v>
      </c>
      <c r="CQ1719" s="213" t="s">
        <v>4896</v>
      </c>
      <c r="CR1719" s="213" t="s">
        <v>4896</v>
      </c>
      <c r="CS1719" s="213" t="s">
        <v>4287</v>
      </c>
      <c r="CT1719" s="213" t="s">
        <v>4288</v>
      </c>
      <c r="CU1719" s="213" t="s">
        <v>1150</v>
      </c>
      <c r="CV1719" s="214" t="s">
        <v>4289</v>
      </c>
      <c r="CX1719" s="212">
        <v>1</v>
      </c>
    </row>
    <row r="1720" spans="91:102" ht="21" customHeight="1">
      <c r="CM1720" s="210"/>
      <c r="CN1720" s="213" t="s">
        <v>4897</v>
      </c>
      <c r="CO1720" s="213" t="s">
        <v>888</v>
      </c>
      <c r="CP1720" s="213" t="s">
        <v>879</v>
      </c>
      <c r="CQ1720" s="213" t="s">
        <v>4898</v>
      </c>
      <c r="CR1720" s="213" t="s">
        <v>4898</v>
      </c>
      <c r="CS1720" s="213" t="s">
        <v>4287</v>
      </c>
      <c r="CT1720" s="213" t="s">
        <v>4288</v>
      </c>
      <c r="CU1720" s="213" t="s">
        <v>1150</v>
      </c>
      <c r="CV1720" s="214" t="s">
        <v>4289</v>
      </c>
      <c r="CX1720" s="212">
        <v>1</v>
      </c>
    </row>
    <row r="1721" spans="91:102" ht="21" customHeight="1">
      <c r="CM1721" s="210"/>
      <c r="CN1721" s="213" t="s">
        <v>4899</v>
      </c>
      <c r="CO1721" s="213" t="s">
        <v>888</v>
      </c>
      <c r="CP1721" s="213" t="s">
        <v>879</v>
      </c>
      <c r="CQ1721" s="213" t="s">
        <v>4900</v>
      </c>
      <c r="CR1721" s="213" t="s">
        <v>4900</v>
      </c>
      <c r="CS1721" s="213" t="s">
        <v>881</v>
      </c>
      <c r="CT1721" s="213" t="s">
        <v>4302</v>
      </c>
      <c r="CU1721" s="213" t="s">
        <v>883</v>
      </c>
      <c r="CV1721" s="214" t="s">
        <v>884</v>
      </c>
      <c r="CX1721" s="212">
        <v>1</v>
      </c>
    </row>
    <row r="1722" spans="91:102" ht="21" customHeight="1">
      <c r="CM1722" s="210"/>
      <c r="CN1722" s="213" t="s">
        <v>4901</v>
      </c>
      <c r="CO1722" s="213" t="s">
        <v>888</v>
      </c>
      <c r="CP1722" s="213" t="s">
        <v>879</v>
      </c>
      <c r="CQ1722" s="213" t="s">
        <v>4902</v>
      </c>
      <c r="CR1722" s="213" t="s">
        <v>4902</v>
      </c>
      <c r="CS1722" s="213" t="s">
        <v>881</v>
      </c>
      <c r="CT1722" s="213" t="s">
        <v>4302</v>
      </c>
      <c r="CU1722" s="213" t="s">
        <v>883</v>
      </c>
      <c r="CV1722" s="214" t="s">
        <v>884</v>
      </c>
      <c r="CX1722" s="212">
        <v>1</v>
      </c>
    </row>
    <row r="1723" spans="91:102" ht="21" customHeight="1">
      <c r="CM1723" s="210"/>
      <c r="CN1723" s="213" t="s">
        <v>4903</v>
      </c>
      <c r="CO1723" s="213" t="s">
        <v>888</v>
      </c>
      <c r="CP1723" s="213" t="s">
        <v>879</v>
      </c>
      <c r="CQ1723" s="213" t="s">
        <v>4904</v>
      </c>
      <c r="CR1723" s="213" t="s">
        <v>4904</v>
      </c>
      <c r="CS1723" s="213" t="s">
        <v>881</v>
      </c>
      <c r="CT1723" s="213" t="s">
        <v>4302</v>
      </c>
      <c r="CU1723" s="213" t="s">
        <v>883</v>
      </c>
      <c r="CV1723" s="214" t="s">
        <v>884</v>
      </c>
      <c r="CX1723" s="212">
        <v>1</v>
      </c>
    </row>
    <row r="1724" spans="91:102" ht="21" customHeight="1">
      <c r="CM1724" s="210"/>
      <c r="CN1724" s="213" t="s">
        <v>4905</v>
      </c>
      <c r="CO1724" s="213" t="s">
        <v>888</v>
      </c>
      <c r="CP1724" s="213" t="s">
        <v>879</v>
      </c>
      <c r="CQ1724" s="213" t="s">
        <v>4906</v>
      </c>
      <c r="CR1724" s="213" t="s">
        <v>4906</v>
      </c>
      <c r="CS1724" s="213" t="s">
        <v>4287</v>
      </c>
      <c r="CT1724" s="213" t="s">
        <v>4288</v>
      </c>
      <c r="CU1724" s="213" t="s">
        <v>1150</v>
      </c>
      <c r="CV1724" s="214" t="s">
        <v>4289</v>
      </c>
      <c r="CX1724" s="212">
        <v>1</v>
      </c>
    </row>
    <row r="1725" spans="91:102" ht="21" customHeight="1">
      <c r="CM1725" s="210"/>
      <c r="CN1725" s="213" t="s">
        <v>4907</v>
      </c>
      <c r="CO1725" s="213" t="s">
        <v>888</v>
      </c>
      <c r="CP1725" s="213" t="s">
        <v>879</v>
      </c>
      <c r="CQ1725" s="213" t="s">
        <v>4908</v>
      </c>
      <c r="CR1725" s="213" t="s">
        <v>4909</v>
      </c>
      <c r="CS1725" s="213" t="s">
        <v>4287</v>
      </c>
      <c r="CT1725" s="213" t="s">
        <v>4288</v>
      </c>
      <c r="CU1725" s="213" t="s">
        <v>1150</v>
      </c>
      <c r="CV1725" s="214" t="s">
        <v>4289</v>
      </c>
      <c r="CX1725" s="212">
        <v>1</v>
      </c>
    </row>
    <row r="1726" spans="91:102" ht="21" customHeight="1">
      <c r="CM1726" s="210"/>
      <c r="CN1726" s="213" t="s">
        <v>4910</v>
      </c>
      <c r="CO1726" s="213" t="s">
        <v>888</v>
      </c>
      <c r="CP1726" s="213" t="s">
        <v>879</v>
      </c>
      <c r="CQ1726" s="213" t="s">
        <v>4911</v>
      </c>
      <c r="CR1726" s="213" t="s">
        <v>4912</v>
      </c>
      <c r="CS1726" s="213" t="s">
        <v>4287</v>
      </c>
      <c r="CT1726" s="213" t="s">
        <v>4288</v>
      </c>
      <c r="CU1726" s="213" t="s">
        <v>1150</v>
      </c>
      <c r="CV1726" s="214" t="s">
        <v>4289</v>
      </c>
      <c r="CX1726" s="212">
        <v>1</v>
      </c>
    </row>
    <row r="1727" spans="91:102" ht="21" customHeight="1">
      <c r="CM1727" s="210"/>
      <c r="CN1727" s="213" t="s">
        <v>4913</v>
      </c>
      <c r="CO1727" s="213" t="s">
        <v>888</v>
      </c>
      <c r="CP1727" s="213" t="s">
        <v>879</v>
      </c>
      <c r="CQ1727" s="213" t="s">
        <v>4914</v>
      </c>
      <c r="CR1727" s="213" t="s">
        <v>4915</v>
      </c>
      <c r="CS1727" s="213" t="s">
        <v>4287</v>
      </c>
      <c r="CT1727" s="213" t="s">
        <v>4288</v>
      </c>
      <c r="CU1727" s="213" t="s">
        <v>1150</v>
      </c>
      <c r="CV1727" s="214" t="s">
        <v>4289</v>
      </c>
      <c r="CX1727" s="212">
        <v>1</v>
      </c>
    </row>
    <row r="1728" spans="91:102" ht="21" customHeight="1">
      <c r="CM1728" s="210"/>
      <c r="CN1728" s="213" t="s">
        <v>4916</v>
      </c>
      <c r="CO1728" s="213" t="s">
        <v>888</v>
      </c>
      <c r="CP1728" s="213" t="s">
        <v>879</v>
      </c>
      <c r="CQ1728" s="213" t="s">
        <v>4917</v>
      </c>
      <c r="CR1728" s="213" t="s">
        <v>4917</v>
      </c>
      <c r="CS1728" s="213" t="s">
        <v>4287</v>
      </c>
      <c r="CT1728" s="213" t="s">
        <v>4288</v>
      </c>
      <c r="CU1728" s="213" t="s">
        <v>1150</v>
      </c>
      <c r="CV1728" s="214" t="s">
        <v>4289</v>
      </c>
      <c r="CX1728" s="212">
        <v>1</v>
      </c>
    </row>
    <row r="1729" spans="91:102" ht="21" customHeight="1">
      <c r="CM1729" s="210"/>
      <c r="CN1729" s="213" t="s">
        <v>4918</v>
      </c>
      <c r="CO1729" s="213" t="s">
        <v>888</v>
      </c>
      <c r="CP1729" s="213" t="s">
        <v>879</v>
      </c>
      <c r="CQ1729" s="213" t="s">
        <v>4919</v>
      </c>
      <c r="CR1729" s="213" t="s">
        <v>4919</v>
      </c>
      <c r="CS1729" s="213" t="s">
        <v>971</v>
      </c>
      <c r="CT1729" s="213" t="s">
        <v>972</v>
      </c>
      <c r="CU1729" s="213" t="s">
        <v>883</v>
      </c>
      <c r="CV1729" s="214" t="s">
        <v>973</v>
      </c>
      <c r="CX1729" s="212">
        <v>1</v>
      </c>
    </row>
    <row r="1730" spans="91:102" ht="21" customHeight="1">
      <c r="CM1730" s="210"/>
      <c r="CN1730" s="213" t="s">
        <v>4920</v>
      </c>
      <c r="CO1730" s="213" t="s">
        <v>888</v>
      </c>
      <c r="CP1730" s="213" t="s">
        <v>879</v>
      </c>
      <c r="CQ1730" s="213" t="s">
        <v>4921</v>
      </c>
      <c r="CR1730" s="213" t="s">
        <v>4921</v>
      </c>
      <c r="CS1730" s="213" t="s">
        <v>4287</v>
      </c>
      <c r="CT1730" s="213" t="s">
        <v>4288</v>
      </c>
      <c r="CU1730" s="213" t="s">
        <v>1150</v>
      </c>
      <c r="CV1730" s="214" t="s">
        <v>4289</v>
      </c>
      <c r="CX1730" s="212">
        <v>1</v>
      </c>
    </row>
    <row r="1731" spans="91:102" ht="21" customHeight="1">
      <c r="CM1731" s="210"/>
      <c r="CN1731" s="213" t="s">
        <v>4922</v>
      </c>
      <c r="CO1731" s="213" t="s">
        <v>888</v>
      </c>
      <c r="CP1731" s="213" t="s">
        <v>879</v>
      </c>
      <c r="CQ1731" s="213" t="s">
        <v>4923</v>
      </c>
      <c r="CR1731" s="213" t="s">
        <v>4923</v>
      </c>
      <c r="CS1731" s="213" t="s">
        <v>4287</v>
      </c>
      <c r="CT1731" s="213" t="s">
        <v>4288</v>
      </c>
      <c r="CU1731" s="213" t="s">
        <v>1150</v>
      </c>
      <c r="CV1731" s="214" t="s">
        <v>4289</v>
      </c>
      <c r="CX1731" s="212">
        <v>1</v>
      </c>
    </row>
    <row r="1732" spans="91:102" ht="21" customHeight="1">
      <c r="CM1732" s="210"/>
      <c r="CN1732" s="213" t="s">
        <v>4924</v>
      </c>
      <c r="CO1732" s="213" t="s">
        <v>888</v>
      </c>
      <c r="CP1732" s="213" t="s">
        <v>879</v>
      </c>
      <c r="CQ1732" s="213" t="s">
        <v>4925</v>
      </c>
      <c r="CR1732" s="213" t="s">
        <v>4925</v>
      </c>
      <c r="CS1732" s="213" t="s">
        <v>881</v>
      </c>
      <c r="CT1732" s="213" t="s">
        <v>4302</v>
      </c>
      <c r="CU1732" s="213" t="s">
        <v>883</v>
      </c>
      <c r="CV1732" s="214" t="s">
        <v>884</v>
      </c>
      <c r="CX1732" s="212">
        <v>1</v>
      </c>
    </row>
    <row r="1733" spans="91:102" ht="21" customHeight="1">
      <c r="CM1733" s="210"/>
      <c r="CN1733" s="213" t="s">
        <v>4926</v>
      </c>
      <c r="CO1733" s="213" t="s">
        <v>888</v>
      </c>
      <c r="CP1733" s="213" t="s">
        <v>879</v>
      </c>
      <c r="CQ1733" s="213" t="s">
        <v>4927</v>
      </c>
      <c r="CR1733" s="213" t="s">
        <v>4928</v>
      </c>
      <c r="CS1733" s="213" t="s">
        <v>4287</v>
      </c>
      <c r="CT1733" s="213" t="s">
        <v>4288</v>
      </c>
      <c r="CU1733" s="213" t="s">
        <v>1150</v>
      </c>
      <c r="CV1733" s="214" t="s">
        <v>4289</v>
      </c>
      <c r="CX1733" s="212">
        <v>1</v>
      </c>
    </row>
    <row r="1734" spans="91:102" ht="21" customHeight="1">
      <c r="CM1734" s="210"/>
      <c r="CN1734" s="213" t="s">
        <v>4929</v>
      </c>
      <c r="CO1734" s="213" t="s">
        <v>888</v>
      </c>
      <c r="CP1734" s="213" t="s">
        <v>879</v>
      </c>
      <c r="CQ1734" s="213" t="s">
        <v>4930</v>
      </c>
      <c r="CR1734" s="213" t="s">
        <v>4930</v>
      </c>
      <c r="CS1734" s="213" t="s">
        <v>4287</v>
      </c>
      <c r="CT1734" s="213" t="s">
        <v>4288</v>
      </c>
      <c r="CU1734" s="213" t="s">
        <v>1150</v>
      </c>
      <c r="CV1734" s="214" t="s">
        <v>4289</v>
      </c>
      <c r="CX1734" s="212">
        <v>1</v>
      </c>
    </row>
    <row r="1735" spans="91:102" ht="21" customHeight="1">
      <c r="CM1735" s="210"/>
      <c r="CN1735" s="213" t="s">
        <v>4931</v>
      </c>
      <c r="CO1735" s="213" t="s">
        <v>888</v>
      </c>
      <c r="CP1735" s="213" t="s">
        <v>879</v>
      </c>
      <c r="CQ1735" s="213" t="s">
        <v>4932</v>
      </c>
      <c r="CR1735" s="213" t="s">
        <v>4932</v>
      </c>
      <c r="CS1735" s="213" t="s">
        <v>881</v>
      </c>
      <c r="CT1735" s="213" t="s">
        <v>4302</v>
      </c>
      <c r="CU1735" s="213" t="s">
        <v>883</v>
      </c>
      <c r="CV1735" s="214" t="s">
        <v>884</v>
      </c>
      <c r="CX1735" s="212">
        <v>1</v>
      </c>
    </row>
    <row r="1736" spans="91:102" ht="21" customHeight="1">
      <c r="CM1736" s="210"/>
      <c r="CN1736" s="213" t="s">
        <v>4933</v>
      </c>
      <c r="CO1736" s="213" t="s">
        <v>888</v>
      </c>
      <c r="CP1736" s="213" t="s">
        <v>879</v>
      </c>
      <c r="CQ1736" s="213" t="s">
        <v>4934</v>
      </c>
      <c r="CR1736" s="213" t="s">
        <v>4934</v>
      </c>
      <c r="CS1736" s="213" t="s">
        <v>971</v>
      </c>
      <c r="CT1736" s="213" t="s">
        <v>972</v>
      </c>
      <c r="CU1736" s="213" t="s">
        <v>883</v>
      </c>
      <c r="CV1736" s="214" t="s">
        <v>973</v>
      </c>
      <c r="CX1736" s="212">
        <v>1</v>
      </c>
    </row>
    <row r="1737" spans="91:102" ht="21" customHeight="1">
      <c r="CM1737" s="210"/>
      <c r="CN1737" s="213" t="s">
        <v>4935</v>
      </c>
      <c r="CO1737" s="213" t="s">
        <v>888</v>
      </c>
      <c r="CP1737" s="213" t="s">
        <v>879</v>
      </c>
      <c r="CQ1737" s="213" t="s">
        <v>4936</v>
      </c>
      <c r="CR1737" s="213" t="s">
        <v>4936</v>
      </c>
      <c r="CS1737" s="213" t="s">
        <v>881</v>
      </c>
      <c r="CT1737" s="213" t="s">
        <v>4302</v>
      </c>
      <c r="CU1737" s="213" t="s">
        <v>883</v>
      </c>
      <c r="CV1737" s="214" t="s">
        <v>884</v>
      </c>
      <c r="CX1737" s="212">
        <v>1</v>
      </c>
    </row>
    <row r="1738" spans="91:102" ht="21" customHeight="1">
      <c r="CM1738" s="210"/>
      <c r="CN1738" s="213" t="s">
        <v>4937</v>
      </c>
      <c r="CO1738" s="213" t="s">
        <v>888</v>
      </c>
      <c r="CP1738" s="213" t="s">
        <v>879</v>
      </c>
      <c r="CQ1738" s="213" t="s">
        <v>4938</v>
      </c>
      <c r="CR1738" s="213" t="s">
        <v>4938</v>
      </c>
      <c r="CS1738" s="213" t="s">
        <v>4287</v>
      </c>
      <c r="CT1738" s="213" t="s">
        <v>4288</v>
      </c>
      <c r="CU1738" s="213" t="s">
        <v>1150</v>
      </c>
      <c r="CV1738" s="214" t="s">
        <v>4289</v>
      </c>
      <c r="CX1738" s="212">
        <v>1</v>
      </c>
    </row>
    <row r="1739" spans="91:102" ht="21" customHeight="1">
      <c r="CM1739" s="210"/>
      <c r="CN1739" s="213" t="s">
        <v>4939</v>
      </c>
      <c r="CO1739" s="213" t="s">
        <v>888</v>
      </c>
      <c r="CP1739" s="213" t="s">
        <v>879</v>
      </c>
      <c r="CQ1739" s="213" t="s">
        <v>4940</v>
      </c>
      <c r="CR1739" s="213" t="s">
        <v>4940</v>
      </c>
      <c r="CS1739" s="213" t="s">
        <v>971</v>
      </c>
      <c r="CT1739" s="213" t="s">
        <v>972</v>
      </c>
      <c r="CU1739" s="213" t="s">
        <v>883</v>
      </c>
      <c r="CV1739" s="214" t="s">
        <v>973</v>
      </c>
      <c r="CX1739" s="212">
        <v>1</v>
      </c>
    </row>
    <row r="1740" spans="91:102" ht="21" customHeight="1">
      <c r="CM1740" s="210"/>
      <c r="CN1740" s="213" t="s">
        <v>4941</v>
      </c>
      <c r="CO1740" s="213" t="s">
        <v>888</v>
      </c>
      <c r="CP1740" s="213" t="s">
        <v>1290</v>
      </c>
      <c r="CQ1740" s="213" t="s">
        <v>4942</v>
      </c>
      <c r="CR1740" s="213" t="s">
        <v>4942</v>
      </c>
      <c r="CS1740" s="213" t="s">
        <v>971</v>
      </c>
      <c r="CT1740" s="213" t="s">
        <v>1292</v>
      </c>
      <c r="CU1740" s="213" t="s">
        <v>883</v>
      </c>
      <c r="CV1740" s="214" t="s">
        <v>973</v>
      </c>
      <c r="CX1740" s="212">
        <v>1</v>
      </c>
    </row>
    <row r="1741" spans="91:102" ht="21" customHeight="1">
      <c r="CM1741" s="210"/>
      <c r="CN1741" s="213" t="s">
        <v>4943</v>
      </c>
      <c r="CO1741" s="213" t="s">
        <v>888</v>
      </c>
      <c r="CP1741" s="213" t="s">
        <v>1290</v>
      </c>
      <c r="CQ1741" s="213" t="s">
        <v>4944</v>
      </c>
      <c r="CR1741" s="213" t="s">
        <v>4944</v>
      </c>
      <c r="CS1741" s="213" t="s">
        <v>971</v>
      </c>
      <c r="CT1741" s="213" t="s">
        <v>1292</v>
      </c>
      <c r="CU1741" s="213" t="s">
        <v>883</v>
      </c>
      <c r="CV1741" s="214" t="s">
        <v>973</v>
      </c>
      <c r="CX1741" s="212">
        <v>1</v>
      </c>
    </row>
    <row r="1742" spans="91:102" ht="21" customHeight="1">
      <c r="CM1742" s="210"/>
      <c r="CN1742" s="213" t="s">
        <v>4945</v>
      </c>
      <c r="CO1742" s="213" t="s">
        <v>888</v>
      </c>
      <c r="CP1742" s="213" t="s">
        <v>1290</v>
      </c>
      <c r="CQ1742" s="213" t="s">
        <v>4946</v>
      </c>
      <c r="CR1742" s="213" t="s">
        <v>4947</v>
      </c>
      <c r="CS1742" s="213" t="s">
        <v>4287</v>
      </c>
      <c r="CT1742" s="213" t="s">
        <v>4948</v>
      </c>
      <c r="CU1742" s="213" t="s">
        <v>1150</v>
      </c>
      <c r="CV1742" s="214" t="s">
        <v>4289</v>
      </c>
      <c r="CX1742" s="212">
        <v>1</v>
      </c>
    </row>
    <row r="1743" spans="91:102" ht="21" customHeight="1">
      <c r="CM1743" s="210"/>
      <c r="CN1743" s="213" t="s">
        <v>4949</v>
      </c>
      <c r="CO1743" s="213" t="s">
        <v>888</v>
      </c>
      <c r="CP1743" s="213" t="s">
        <v>1290</v>
      </c>
      <c r="CQ1743" s="213" t="s">
        <v>4950</v>
      </c>
      <c r="CR1743" s="213" t="s">
        <v>4950</v>
      </c>
      <c r="CS1743" s="213" t="s">
        <v>881</v>
      </c>
      <c r="CT1743" s="213" t="s">
        <v>4951</v>
      </c>
      <c r="CU1743" s="213" t="s">
        <v>883</v>
      </c>
      <c r="CV1743" s="214" t="s">
        <v>884</v>
      </c>
      <c r="CX1743" s="212">
        <v>1</v>
      </c>
    </row>
    <row r="1744" spans="91:102" ht="21" customHeight="1">
      <c r="CM1744" s="210"/>
      <c r="CN1744" s="213" t="s">
        <v>4952</v>
      </c>
      <c r="CO1744" s="213" t="s">
        <v>888</v>
      </c>
      <c r="CP1744" s="213" t="s">
        <v>1290</v>
      </c>
      <c r="CQ1744" s="213" t="s">
        <v>4124</v>
      </c>
      <c r="CR1744" s="213" t="s">
        <v>4124</v>
      </c>
      <c r="CS1744" s="213" t="s">
        <v>881</v>
      </c>
      <c r="CT1744" s="213" t="s">
        <v>4951</v>
      </c>
      <c r="CU1744" s="213" t="s">
        <v>883</v>
      </c>
      <c r="CV1744" s="214" t="s">
        <v>884</v>
      </c>
      <c r="CX1744" s="212">
        <v>1</v>
      </c>
    </row>
    <row r="1745" spans="91:102" ht="21" customHeight="1">
      <c r="CM1745" s="210"/>
      <c r="CN1745" s="213" t="s">
        <v>4953</v>
      </c>
      <c r="CO1745" s="213" t="s">
        <v>888</v>
      </c>
      <c r="CP1745" s="213" t="s">
        <v>1290</v>
      </c>
      <c r="CQ1745" s="213" t="s">
        <v>4126</v>
      </c>
      <c r="CR1745" s="213" t="s">
        <v>4127</v>
      </c>
      <c r="CS1745" s="213" t="s">
        <v>881</v>
      </c>
      <c r="CT1745" s="213" t="s">
        <v>4951</v>
      </c>
      <c r="CU1745" s="213" t="s">
        <v>883</v>
      </c>
      <c r="CV1745" s="214" t="s">
        <v>884</v>
      </c>
      <c r="CX1745" s="212">
        <v>1</v>
      </c>
    </row>
    <row r="1746" spans="91:102" ht="21" customHeight="1">
      <c r="CM1746" s="210"/>
      <c r="CN1746" s="213" t="s">
        <v>4954</v>
      </c>
      <c r="CO1746" s="213" t="s">
        <v>888</v>
      </c>
      <c r="CP1746" s="213" t="s">
        <v>1290</v>
      </c>
      <c r="CQ1746" s="213" t="s">
        <v>4955</v>
      </c>
      <c r="CR1746" s="213" t="s">
        <v>4955</v>
      </c>
      <c r="CS1746" s="213" t="s">
        <v>881</v>
      </c>
      <c r="CT1746" s="213" t="s">
        <v>4951</v>
      </c>
      <c r="CU1746" s="213" t="s">
        <v>883</v>
      </c>
      <c r="CV1746" s="214" t="s">
        <v>884</v>
      </c>
      <c r="CX1746" s="212">
        <v>1</v>
      </c>
    </row>
    <row r="1747" spans="91:102" ht="21" customHeight="1">
      <c r="CM1747" s="210"/>
      <c r="CN1747" s="213" t="s">
        <v>4956</v>
      </c>
      <c r="CO1747" s="213" t="s">
        <v>888</v>
      </c>
      <c r="CP1747" s="213" t="s">
        <v>1290</v>
      </c>
      <c r="CQ1747" s="213" t="s">
        <v>4957</v>
      </c>
      <c r="CR1747" s="213" t="s">
        <v>4957</v>
      </c>
      <c r="CS1747" s="213" t="s">
        <v>881</v>
      </c>
      <c r="CT1747" s="213" t="s">
        <v>4951</v>
      </c>
      <c r="CU1747" s="213" t="s">
        <v>883</v>
      </c>
      <c r="CV1747" s="214" t="s">
        <v>884</v>
      </c>
      <c r="CX1747" s="212">
        <v>1</v>
      </c>
    </row>
    <row r="1748" spans="91:102" ht="21" customHeight="1">
      <c r="CM1748" s="210"/>
      <c r="CN1748" s="213" t="s">
        <v>4958</v>
      </c>
      <c r="CO1748" s="213" t="s">
        <v>888</v>
      </c>
      <c r="CP1748" s="213" t="s">
        <v>1290</v>
      </c>
      <c r="CQ1748" s="213" t="s">
        <v>4959</v>
      </c>
      <c r="CR1748" s="213" t="s">
        <v>4959</v>
      </c>
      <c r="CS1748" s="213" t="s">
        <v>4287</v>
      </c>
      <c r="CT1748" s="213" t="s">
        <v>4948</v>
      </c>
      <c r="CU1748" s="213" t="s">
        <v>1150</v>
      </c>
      <c r="CV1748" s="214" t="s">
        <v>4289</v>
      </c>
      <c r="CX1748" s="212">
        <v>1</v>
      </c>
    </row>
    <row r="1749" spans="91:102" ht="21" customHeight="1">
      <c r="CM1749" s="210"/>
      <c r="CN1749" s="213" t="s">
        <v>4960</v>
      </c>
      <c r="CO1749" s="213" t="s">
        <v>888</v>
      </c>
      <c r="CP1749" s="213" t="s">
        <v>1290</v>
      </c>
      <c r="CQ1749" s="213" t="s">
        <v>4961</v>
      </c>
      <c r="CR1749" s="213" t="s">
        <v>4962</v>
      </c>
      <c r="CS1749" s="213" t="s">
        <v>881</v>
      </c>
      <c r="CT1749" s="213" t="s">
        <v>4951</v>
      </c>
      <c r="CU1749" s="213" t="s">
        <v>883</v>
      </c>
      <c r="CV1749" s="214" t="s">
        <v>884</v>
      </c>
      <c r="CX1749" s="212">
        <v>1</v>
      </c>
    </row>
    <row r="1750" spans="91:102" ht="21" customHeight="1">
      <c r="CM1750" s="210"/>
      <c r="CN1750" s="213" t="s">
        <v>4963</v>
      </c>
      <c r="CO1750" s="213" t="s">
        <v>888</v>
      </c>
      <c r="CP1750" s="213" t="s">
        <v>1290</v>
      </c>
      <c r="CQ1750" s="213" t="s">
        <v>4964</v>
      </c>
      <c r="CR1750" s="213" t="s">
        <v>4964</v>
      </c>
      <c r="CS1750" s="213" t="s">
        <v>881</v>
      </c>
      <c r="CT1750" s="213" t="s">
        <v>4951</v>
      </c>
      <c r="CU1750" s="213" t="s">
        <v>883</v>
      </c>
      <c r="CV1750" s="214" t="s">
        <v>884</v>
      </c>
      <c r="CX1750" s="212">
        <v>1</v>
      </c>
    </row>
    <row r="1751" spans="91:102" ht="21" customHeight="1">
      <c r="CM1751" s="210"/>
      <c r="CN1751" s="213" t="s">
        <v>4965</v>
      </c>
      <c r="CO1751" s="213" t="s">
        <v>888</v>
      </c>
      <c r="CP1751" s="213" t="s">
        <v>1290</v>
      </c>
      <c r="CQ1751" s="213" t="s">
        <v>4966</v>
      </c>
      <c r="CR1751" s="213" t="s">
        <v>4967</v>
      </c>
      <c r="CS1751" s="213" t="s">
        <v>881</v>
      </c>
      <c r="CT1751" s="213" t="s">
        <v>4951</v>
      </c>
      <c r="CU1751" s="213" t="s">
        <v>883</v>
      </c>
      <c r="CV1751" s="214" t="s">
        <v>884</v>
      </c>
      <c r="CX1751" s="212">
        <v>1</v>
      </c>
    </row>
    <row r="1752" spans="91:102" ht="21" customHeight="1">
      <c r="CM1752" s="210"/>
      <c r="CN1752" s="213" t="s">
        <v>4968</v>
      </c>
      <c r="CO1752" s="213" t="s">
        <v>888</v>
      </c>
      <c r="CP1752" s="213" t="s">
        <v>1290</v>
      </c>
      <c r="CQ1752" s="213" t="s">
        <v>4969</v>
      </c>
      <c r="CR1752" s="213" t="s">
        <v>4969</v>
      </c>
      <c r="CS1752" s="213" t="s">
        <v>971</v>
      </c>
      <c r="CT1752" s="213" t="s">
        <v>1292</v>
      </c>
      <c r="CU1752" s="213" t="s">
        <v>883</v>
      </c>
      <c r="CV1752" s="214" t="s">
        <v>973</v>
      </c>
      <c r="CX1752" s="212">
        <v>1</v>
      </c>
    </row>
    <row r="1753" spans="91:102" ht="21" customHeight="1">
      <c r="CM1753" s="210"/>
      <c r="CN1753" s="213" t="s">
        <v>4970</v>
      </c>
      <c r="CO1753" s="213" t="s">
        <v>888</v>
      </c>
      <c r="CP1753" s="213" t="s">
        <v>1290</v>
      </c>
      <c r="CQ1753" s="213" t="s">
        <v>4971</v>
      </c>
      <c r="CR1753" s="213" t="s">
        <v>4971</v>
      </c>
      <c r="CS1753" s="213" t="s">
        <v>971</v>
      </c>
      <c r="CT1753" s="213" t="s">
        <v>1292</v>
      </c>
      <c r="CU1753" s="213" t="s">
        <v>883</v>
      </c>
      <c r="CV1753" s="214" t="s">
        <v>973</v>
      </c>
      <c r="CX1753" s="212">
        <v>1</v>
      </c>
    </row>
    <row r="1754" spans="91:102" ht="21" customHeight="1">
      <c r="CM1754" s="210"/>
      <c r="CN1754" s="213" t="s">
        <v>4972</v>
      </c>
      <c r="CO1754" s="213" t="s">
        <v>888</v>
      </c>
      <c r="CP1754" s="213" t="s">
        <v>1290</v>
      </c>
      <c r="CQ1754" s="213" t="s">
        <v>4973</v>
      </c>
      <c r="CR1754" s="213" t="s">
        <v>4973</v>
      </c>
      <c r="CS1754" s="213" t="s">
        <v>4287</v>
      </c>
      <c r="CT1754" s="213" t="s">
        <v>4948</v>
      </c>
      <c r="CU1754" s="213" t="s">
        <v>1150</v>
      </c>
      <c r="CV1754" s="214" t="s">
        <v>4289</v>
      </c>
      <c r="CX1754" s="212">
        <v>1</v>
      </c>
    </row>
    <row r="1755" spans="91:102" ht="21" customHeight="1">
      <c r="CM1755" s="210"/>
      <c r="CN1755" s="213" t="s">
        <v>4974</v>
      </c>
      <c r="CO1755" s="213" t="s">
        <v>888</v>
      </c>
      <c r="CP1755" s="213" t="s">
        <v>1290</v>
      </c>
      <c r="CQ1755" s="213" t="s">
        <v>4975</v>
      </c>
      <c r="CR1755" s="213" t="s">
        <v>4975</v>
      </c>
      <c r="CS1755" s="213" t="s">
        <v>971</v>
      </c>
      <c r="CT1755" s="213" t="s">
        <v>1292</v>
      </c>
      <c r="CU1755" s="213" t="s">
        <v>883</v>
      </c>
      <c r="CV1755" s="214" t="s">
        <v>973</v>
      </c>
      <c r="CX1755" s="212">
        <v>1</v>
      </c>
    </row>
    <row r="1756" spans="91:102" ht="21" customHeight="1">
      <c r="CM1756" s="210"/>
      <c r="CN1756" s="213" t="s">
        <v>4976</v>
      </c>
      <c r="CO1756" s="213" t="s">
        <v>888</v>
      </c>
      <c r="CP1756" s="213" t="s">
        <v>1290</v>
      </c>
      <c r="CQ1756" s="213" t="s">
        <v>4977</v>
      </c>
      <c r="CR1756" s="213" t="s">
        <v>4977</v>
      </c>
      <c r="CS1756" s="213" t="s">
        <v>971</v>
      </c>
      <c r="CT1756" s="213" t="s">
        <v>1292</v>
      </c>
      <c r="CU1756" s="213" t="s">
        <v>883</v>
      </c>
      <c r="CV1756" s="214" t="s">
        <v>973</v>
      </c>
      <c r="CX1756" s="212">
        <v>1</v>
      </c>
    </row>
    <row r="1757" spans="91:102" ht="21" customHeight="1">
      <c r="CM1757" s="210"/>
      <c r="CN1757" s="213" t="s">
        <v>4978</v>
      </c>
      <c r="CO1757" s="213" t="s">
        <v>888</v>
      </c>
      <c r="CP1757" s="213" t="s">
        <v>1290</v>
      </c>
      <c r="CQ1757" s="213" t="s">
        <v>4979</v>
      </c>
      <c r="CR1757" s="213" t="s">
        <v>4979</v>
      </c>
      <c r="CS1757" s="213" t="s">
        <v>971</v>
      </c>
      <c r="CT1757" s="213" t="s">
        <v>1292</v>
      </c>
      <c r="CU1757" s="213" t="s">
        <v>883</v>
      </c>
      <c r="CV1757" s="214" t="s">
        <v>973</v>
      </c>
      <c r="CX1757" s="212">
        <v>1</v>
      </c>
    </row>
    <row r="1758" spans="91:102" ht="21" customHeight="1">
      <c r="CM1758" s="210"/>
      <c r="CN1758" s="213" t="s">
        <v>4980</v>
      </c>
      <c r="CO1758" s="213" t="s">
        <v>888</v>
      </c>
      <c r="CP1758" s="213" t="s">
        <v>1290</v>
      </c>
      <c r="CQ1758" s="213" t="s">
        <v>4981</v>
      </c>
      <c r="CR1758" s="213" t="s">
        <v>4982</v>
      </c>
      <c r="CS1758" s="213" t="s">
        <v>4287</v>
      </c>
      <c r="CT1758" s="213" t="s">
        <v>4948</v>
      </c>
      <c r="CU1758" s="213" t="s">
        <v>1150</v>
      </c>
      <c r="CV1758" s="214" t="s">
        <v>4289</v>
      </c>
      <c r="CX1758" s="212">
        <v>1</v>
      </c>
    </row>
    <row r="1759" spans="91:102" ht="21" customHeight="1">
      <c r="CM1759" s="210"/>
      <c r="CN1759" s="213" t="s">
        <v>4983</v>
      </c>
      <c r="CO1759" s="213" t="s">
        <v>888</v>
      </c>
      <c r="CP1759" s="213" t="s">
        <v>1290</v>
      </c>
      <c r="CQ1759" s="213" t="s">
        <v>4984</v>
      </c>
      <c r="CR1759" s="213" t="s">
        <v>4985</v>
      </c>
      <c r="CS1759" s="213" t="s">
        <v>4287</v>
      </c>
      <c r="CT1759" s="213" t="s">
        <v>4948</v>
      </c>
      <c r="CU1759" s="213" t="s">
        <v>1150</v>
      </c>
      <c r="CV1759" s="214" t="s">
        <v>4289</v>
      </c>
      <c r="CX1759" s="212">
        <v>1</v>
      </c>
    </row>
    <row r="1760" spans="91:102" ht="21" customHeight="1">
      <c r="CM1760" s="210"/>
      <c r="CN1760" s="213" t="s">
        <v>4986</v>
      </c>
      <c r="CO1760" s="213" t="s">
        <v>888</v>
      </c>
      <c r="CP1760" s="213" t="s">
        <v>1290</v>
      </c>
      <c r="CQ1760" s="213" t="s">
        <v>4987</v>
      </c>
      <c r="CR1760" s="213" t="s">
        <v>4988</v>
      </c>
      <c r="CS1760" s="213" t="s">
        <v>881</v>
      </c>
      <c r="CT1760" s="213" t="s">
        <v>4951</v>
      </c>
      <c r="CU1760" s="213" t="s">
        <v>883</v>
      </c>
      <c r="CV1760" s="214" t="s">
        <v>884</v>
      </c>
      <c r="CX1760" s="212">
        <v>1</v>
      </c>
    </row>
    <row r="1761" spans="91:102" ht="21" customHeight="1">
      <c r="CM1761" s="210"/>
      <c r="CN1761" s="213" t="s">
        <v>4989</v>
      </c>
      <c r="CO1761" s="213" t="s">
        <v>888</v>
      </c>
      <c r="CP1761" s="213" t="s">
        <v>1290</v>
      </c>
      <c r="CQ1761" s="213" t="s">
        <v>4990</v>
      </c>
      <c r="CR1761" s="213" t="s">
        <v>4991</v>
      </c>
      <c r="CS1761" s="213" t="s">
        <v>4287</v>
      </c>
      <c r="CT1761" s="213" t="s">
        <v>4948</v>
      </c>
      <c r="CU1761" s="213" t="s">
        <v>1150</v>
      </c>
      <c r="CV1761" s="214" t="s">
        <v>4289</v>
      </c>
      <c r="CX1761" s="212">
        <v>1</v>
      </c>
    </row>
    <row r="1762" spans="91:102" ht="21" customHeight="1">
      <c r="CM1762" s="210"/>
      <c r="CN1762" s="213" t="s">
        <v>4992</v>
      </c>
      <c r="CO1762" s="213" t="s">
        <v>888</v>
      </c>
      <c r="CP1762" s="213" t="s">
        <v>1290</v>
      </c>
      <c r="CQ1762" s="213" t="s">
        <v>4993</v>
      </c>
      <c r="CR1762" s="213" t="s">
        <v>4994</v>
      </c>
      <c r="CS1762" s="213" t="s">
        <v>881</v>
      </c>
      <c r="CT1762" s="213" t="s">
        <v>4951</v>
      </c>
      <c r="CU1762" s="213" t="s">
        <v>883</v>
      </c>
      <c r="CV1762" s="214" t="s">
        <v>884</v>
      </c>
      <c r="CX1762" s="212">
        <v>1</v>
      </c>
    </row>
    <row r="1763" spans="91:102" ht="21" customHeight="1">
      <c r="CM1763" s="210"/>
      <c r="CN1763" s="213" t="s">
        <v>4995</v>
      </c>
      <c r="CO1763" s="213" t="s">
        <v>888</v>
      </c>
      <c r="CP1763" s="213" t="s">
        <v>1290</v>
      </c>
      <c r="CQ1763" s="213" t="s">
        <v>4996</v>
      </c>
      <c r="CR1763" s="213" t="s">
        <v>4997</v>
      </c>
      <c r="CS1763" s="213" t="s">
        <v>881</v>
      </c>
      <c r="CT1763" s="213" t="s">
        <v>4951</v>
      </c>
      <c r="CU1763" s="213" t="s">
        <v>883</v>
      </c>
      <c r="CV1763" s="214" t="s">
        <v>884</v>
      </c>
      <c r="CX1763" s="212">
        <v>1</v>
      </c>
    </row>
    <row r="1764" spans="91:102" ht="21" customHeight="1">
      <c r="CM1764" s="210"/>
      <c r="CN1764" s="213" t="s">
        <v>4998</v>
      </c>
      <c r="CO1764" s="213" t="s">
        <v>888</v>
      </c>
      <c r="CP1764" s="213" t="s">
        <v>1290</v>
      </c>
      <c r="CQ1764" s="213" t="s">
        <v>4999</v>
      </c>
      <c r="CR1764" s="213" t="s">
        <v>5000</v>
      </c>
      <c r="CS1764" s="213" t="s">
        <v>881</v>
      </c>
      <c r="CT1764" s="213" t="s">
        <v>4951</v>
      </c>
      <c r="CU1764" s="213" t="s">
        <v>883</v>
      </c>
      <c r="CV1764" s="214" t="s">
        <v>884</v>
      </c>
      <c r="CX1764" s="212">
        <v>1</v>
      </c>
    </row>
    <row r="1765" spans="91:102" ht="21" customHeight="1">
      <c r="CM1765" s="210"/>
      <c r="CN1765" s="213" t="s">
        <v>5001</v>
      </c>
      <c r="CO1765" s="213" t="s">
        <v>888</v>
      </c>
      <c r="CP1765" s="213" t="s">
        <v>1290</v>
      </c>
      <c r="CQ1765" s="213" t="s">
        <v>5002</v>
      </c>
      <c r="CR1765" s="213" t="s">
        <v>5003</v>
      </c>
      <c r="CS1765" s="213" t="s">
        <v>881</v>
      </c>
      <c r="CT1765" s="213" t="s">
        <v>4951</v>
      </c>
      <c r="CU1765" s="213" t="s">
        <v>883</v>
      </c>
      <c r="CV1765" s="214" t="s">
        <v>884</v>
      </c>
      <c r="CX1765" s="212">
        <v>1</v>
      </c>
    </row>
    <row r="1766" spans="91:102" ht="21" customHeight="1">
      <c r="CM1766" s="210"/>
      <c r="CN1766" s="213" t="s">
        <v>5004</v>
      </c>
      <c r="CO1766" s="213" t="s">
        <v>888</v>
      </c>
      <c r="CP1766" s="213" t="s">
        <v>1290</v>
      </c>
      <c r="CQ1766" s="213" t="s">
        <v>5005</v>
      </c>
      <c r="CR1766" s="213" t="s">
        <v>5006</v>
      </c>
      <c r="CS1766" s="213" t="s">
        <v>4287</v>
      </c>
      <c r="CT1766" s="213" t="s">
        <v>4948</v>
      </c>
      <c r="CU1766" s="213" t="s">
        <v>1150</v>
      </c>
      <c r="CV1766" s="214" t="s">
        <v>4289</v>
      </c>
      <c r="CX1766" s="212">
        <v>1</v>
      </c>
    </row>
    <row r="1767" spans="91:102" ht="21" customHeight="1">
      <c r="CM1767" s="210"/>
      <c r="CN1767" s="213" t="s">
        <v>5007</v>
      </c>
      <c r="CO1767" s="213" t="s">
        <v>888</v>
      </c>
      <c r="CP1767" s="213" t="s">
        <v>1290</v>
      </c>
      <c r="CQ1767" s="213" t="s">
        <v>4176</v>
      </c>
      <c r="CR1767" s="213" t="s">
        <v>4177</v>
      </c>
      <c r="CS1767" s="213" t="s">
        <v>5008</v>
      </c>
      <c r="CT1767" s="213" t="s">
        <v>5009</v>
      </c>
      <c r="CU1767" s="213" t="s">
        <v>883</v>
      </c>
      <c r="CV1767" s="214" t="s">
        <v>884</v>
      </c>
      <c r="CX1767" s="212">
        <v>1</v>
      </c>
    </row>
    <row r="1768" spans="91:102" ht="21" customHeight="1">
      <c r="CM1768" s="210"/>
      <c r="CN1768" s="213" t="s">
        <v>5010</v>
      </c>
      <c r="CO1768" s="213" t="s">
        <v>888</v>
      </c>
      <c r="CP1768" s="213" t="s">
        <v>1290</v>
      </c>
      <c r="CQ1768" s="213" t="s">
        <v>5011</v>
      </c>
      <c r="CR1768" s="213" t="s">
        <v>5012</v>
      </c>
      <c r="CS1768" s="213" t="s">
        <v>4287</v>
      </c>
      <c r="CT1768" s="213" t="s">
        <v>4948</v>
      </c>
      <c r="CU1768" s="213" t="s">
        <v>1150</v>
      </c>
      <c r="CV1768" s="214" t="s">
        <v>4289</v>
      </c>
      <c r="CX1768" s="212">
        <v>1</v>
      </c>
    </row>
    <row r="1769" spans="91:102" ht="21" customHeight="1">
      <c r="CM1769" s="210"/>
      <c r="CN1769" s="213" t="s">
        <v>5013</v>
      </c>
      <c r="CO1769" s="213" t="s">
        <v>888</v>
      </c>
      <c r="CP1769" s="213" t="s">
        <v>1290</v>
      </c>
      <c r="CQ1769" s="213" t="s">
        <v>5014</v>
      </c>
      <c r="CR1769" s="213" t="s">
        <v>5014</v>
      </c>
      <c r="CS1769" s="213" t="s">
        <v>4287</v>
      </c>
      <c r="CT1769" s="213" t="s">
        <v>4948</v>
      </c>
      <c r="CU1769" s="213" t="s">
        <v>1150</v>
      </c>
      <c r="CV1769" s="214" t="s">
        <v>4289</v>
      </c>
      <c r="CX1769" s="212">
        <v>1</v>
      </c>
    </row>
    <row r="1770" spans="91:102" ht="21" customHeight="1">
      <c r="CM1770" s="210"/>
      <c r="CN1770" s="213" t="s">
        <v>5015</v>
      </c>
      <c r="CO1770" s="213" t="s">
        <v>888</v>
      </c>
      <c r="CP1770" s="213" t="s">
        <v>1290</v>
      </c>
      <c r="CQ1770" s="213" t="s">
        <v>5016</v>
      </c>
      <c r="CR1770" s="213" t="s">
        <v>5017</v>
      </c>
      <c r="CS1770" s="213" t="s">
        <v>881</v>
      </c>
      <c r="CT1770" s="213" t="s">
        <v>4951</v>
      </c>
      <c r="CU1770" s="213" t="s">
        <v>883</v>
      </c>
      <c r="CV1770" s="214" t="s">
        <v>884</v>
      </c>
      <c r="CX1770" s="212">
        <v>1</v>
      </c>
    </row>
    <row r="1771" spans="91:102" ht="21" customHeight="1">
      <c r="CM1771" s="210"/>
      <c r="CN1771" s="213" t="s">
        <v>5018</v>
      </c>
      <c r="CO1771" s="213" t="s">
        <v>888</v>
      </c>
      <c r="CP1771" s="213" t="s">
        <v>1290</v>
      </c>
      <c r="CQ1771" s="213" t="s">
        <v>5019</v>
      </c>
      <c r="CR1771" s="213" t="s">
        <v>5019</v>
      </c>
      <c r="CS1771" s="213" t="s">
        <v>4287</v>
      </c>
      <c r="CT1771" s="213" t="s">
        <v>4948</v>
      </c>
      <c r="CU1771" s="213" t="s">
        <v>1150</v>
      </c>
      <c r="CV1771" s="214" t="s">
        <v>4289</v>
      </c>
      <c r="CX1771" s="212">
        <v>1</v>
      </c>
    </row>
    <row r="1772" spans="91:102" ht="21" customHeight="1">
      <c r="CM1772" s="210"/>
      <c r="CN1772" s="213" t="s">
        <v>5020</v>
      </c>
      <c r="CO1772" s="213" t="s">
        <v>888</v>
      </c>
      <c r="CP1772" s="213" t="s">
        <v>1290</v>
      </c>
      <c r="CQ1772" s="213" t="s">
        <v>5021</v>
      </c>
      <c r="CR1772" s="213" t="s">
        <v>5022</v>
      </c>
      <c r="CS1772" s="213" t="s">
        <v>4287</v>
      </c>
      <c r="CT1772" s="213" t="s">
        <v>4948</v>
      </c>
      <c r="CU1772" s="213" t="s">
        <v>1150</v>
      </c>
      <c r="CV1772" s="214" t="s">
        <v>4289</v>
      </c>
      <c r="CX1772" s="212">
        <v>1</v>
      </c>
    </row>
    <row r="1773" spans="91:102" ht="21" customHeight="1">
      <c r="CM1773" s="210"/>
      <c r="CN1773" s="213" t="s">
        <v>5023</v>
      </c>
      <c r="CO1773" s="213" t="s">
        <v>888</v>
      </c>
      <c r="CP1773" s="213" t="s">
        <v>1290</v>
      </c>
      <c r="CQ1773" s="213" t="s">
        <v>5024</v>
      </c>
      <c r="CR1773" s="213" t="s">
        <v>5024</v>
      </c>
      <c r="CS1773" s="213" t="s">
        <v>881</v>
      </c>
      <c r="CT1773" s="213" t="s">
        <v>4951</v>
      </c>
      <c r="CU1773" s="213" t="s">
        <v>883</v>
      </c>
      <c r="CV1773" s="214" t="s">
        <v>884</v>
      </c>
      <c r="CX1773" s="212">
        <v>1</v>
      </c>
    </row>
    <row r="1774" spans="91:102" ht="21" customHeight="1">
      <c r="CM1774" s="210"/>
      <c r="CN1774" s="213" t="s">
        <v>5025</v>
      </c>
      <c r="CO1774" s="213" t="s">
        <v>888</v>
      </c>
      <c r="CP1774" s="213" t="s">
        <v>1290</v>
      </c>
      <c r="CQ1774" s="213" t="s">
        <v>5026</v>
      </c>
      <c r="CR1774" s="213" t="s">
        <v>5026</v>
      </c>
      <c r="CS1774" s="213" t="s">
        <v>881</v>
      </c>
      <c r="CT1774" s="213" t="s">
        <v>4951</v>
      </c>
      <c r="CU1774" s="213" t="s">
        <v>883</v>
      </c>
      <c r="CV1774" s="214" t="s">
        <v>884</v>
      </c>
      <c r="CX1774" s="212">
        <v>1</v>
      </c>
    </row>
    <row r="1775" spans="91:102" ht="21" customHeight="1">
      <c r="CM1775" s="210"/>
      <c r="CN1775" s="213" t="s">
        <v>5027</v>
      </c>
      <c r="CO1775" s="213" t="s">
        <v>888</v>
      </c>
      <c r="CP1775" s="213" t="s">
        <v>1290</v>
      </c>
      <c r="CQ1775" s="213" t="s">
        <v>5028</v>
      </c>
      <c r="CR1775" s="213" t="s">
        <v>5028</v>
      </c>
      <c r="CS1775" s="213" t="s">
        <v>881</v>
      </c>
      <c r="CT1775" s="213" t="s">
        <v>4951</v>
      </c>
      <c r="CU1775" s="213" t="s">
        <v>883</v>
      </c>
      <c r="CV1775" s="214" t="s">
        <v>884</v>
      </c>
      <c r="CX1775" s="212">
        <v>1</v>
      </c>
    </row>
    <row r="1776" spans="91:102" ht="21" customHeight="1">
      <c r="CM1776" s="210"/>
      <c r="CN1776" s="213" t="s">
        <v>5029</v>
      </c>
      <c r="CO1776" s="213" t="s">
        <v>888</v>
      </c>
      <c r="CP1776" s="213" t="s">
        <v>1290</v>
      </c>
      <c r="CQ1776" s="213" t="s">
        <v>5030</v>
      </c>
      <c r="CR1776" s="213" t="s">
        <v>5030</v>
      </c>
      <c r="CS1776" s="213" t="s">
        <v>881</v>
      </c>
      <c r="CT1776" s="213" t="s">
        <v>4951</v>
      </c>
      <c r="CU1776" s="213" t="s">
        <v>883</v>
      </c>
      <c r="CV1776" s="214" t="s">
        <v>884</v>
      </c>
      <c r="CX1776" s="212">
        <v>1</v>
      </c>
    </row>
    <row r="1777" spans="91:102" ht="21" customHeight="1">
      <c r="CM1777" s="210"/>
      <c r="CN1777" s="213" t="s">
        <v>5031</v>
      </c>
      <c r="CO1777" s="213" t="s">
        <v>888</v>
      </c>
      <c r="CP1777" s="213" t="s">
        <v>1290</v>
      </c>
      <c r="CQ1777" s="213" t="s">
        <v>5032</v>
      </c>
      <c r="CR1777" s="213" t="s">
        <v>5032</v>
      </c>
      <c r="CS1777" s="213" t="s">
        <v>881</v>
      </c>
      <c r="CT1777" s="213" t="s">
        <v>4951</v>
      </c>
      <c r="CU1777" s="213" t="s">
        <v>883</v>
      </c>
      <c r="CV1777" s="214" t="s">
        <v>884</v>
      </c>
      <c r="CX1777" s="212">
        <v>1</v>
      </c>
    </row>
    <row r="1778" spans="91:102" ht="21" customHeight="1">
      <c r="CM1778" s="210"/>
      <c r="CN1778" s="213" t="s">
        <v>5033</v>
      </c>
      <c r="CO1778" s="213" t="s">
        <v>888</v>
      </c>
      <c r="CP1778" s="213" t="s">
        <v>1290</v>
      </c>
      <c r="CQ1778" s="213" t="s">
        <v>5034</v>
      </c>
      <c r="CR1778" s="213" t="s">
        <v>5034</v>
      </c>
      <c r="CS1778" s="213" t="s">
        <v>881</v>
      </c>
      <c r="CT1778" s="213" t="s">
        <v>4951</v>
      </c>
      <c r="CU1778" s="213" t="s">
        <v>883</v>
      </c>
      <c r="CV1778" s="214" t="s">
        <v>884</v>
      </c>
      <c r="CX1778" s="212">
        <v>1</v>
      </c>
    </row>
    <row r="1779" spans="91:102" ht="21" customHeight="1">
      <c r="CM1779" s="210"/>
      <c r="CN1779" s="213" t="s">
        <v>5035</v>
      </c>
      <c r="CO1779" s="213" t="s">
        <v>888</v>
      </c>
      <c r="CP1779" s="213" t="s">
        <v>1290</v>
      </c>
      <c r="CQ1779" s="213" t="s">
        <v>5036</v>
      </c>
      <c r="CR1779" s="213" t="s">
        <v>5036</v>
      </c>
      <c r="CS1779" s="213" t="s">
        <v>881</v>
      </c>
      <c r="CT1779" s="213" t="s">
        <v>4951</v>
      </c>
      <c r="CU1779" s="213" t="s">
        <v>883</v>
      </c>
      <c r="CV1779" s="214" t="s">
        <v>884</v>
      </c>
      <c r="CX1779" s="212">
        <v>1</v>
      </c>
    </row>
    <row r="1780" spans="91:102" ht="21" customHeight="1">
      <c r="CM1780" s="210"/>
      <c r="CN1780" s="213" t="s">
        <v>5037</v>
      </c>
      <c r="CO1780" s="213" t="s">
        <v>888</v>
      </c>
      <c r="CP1780" s="213" t="s">
        <v>1290</v>
      </c>
      <c r="CQ1780" s="213" t="s">
        <v>5038</v>
      </c>
      <c r="CR1780" s="213" t="s">
        <v>5038</v>
      </c>
      <c r="CS1780" s="213" t="s">
        <v>881</v>
      </c>
      <c r="CT1780" s="213" t="s">
        <v>4951</v>
      </c>
      <c r="CU1780" s="213" t="s">
        <v>883</v>
      </c>
      <c r="CV1780" s="214" t="s">
        <v>884</v>
      </c>
      <c r="CX1780" s="212">
        <v>1</v>
      </c>
    </row>
    <row r="1781" spans="91:102" ht="21" customHeight="1">
      <c r="CM1781" s="210"/>
      <c r="CN1781" s="213" t="s">
        <v>5039</v>
      </c>
      <c r="CO1781" s="213" t="s">
        <v>888</v>
      </c>
      <c r="CP1781" s="213" t="s">
        <v>1290</v>
      </c>
      <c r="CQ1781" s="213" t="s">
        <v>4200</v>
      </c>
      <c r="CR1781" s="213" t="s">
        <v>4200</v>
      </c>
      <c r="CS1781" s="213" t="s">
        <v>881</v>
      </c>
      <c r="CT1781" s="213" t="s">
        <v>4951</v>
      </c>
      <c r="CU1781" s="213" t="s">
        <v>883</v>
      </c>
      <c r="CV1781" s="214" t="s">
        <v>884</v>
      </c>
      <c r="CX1781" s="212">
        <v>1</v>
      </c>
    </row>
    <row r="1782" spans="91:102" ht="21" customHeight="1">
      <c r="CM1782" s="210"/>
      <c r="CN1782" s="213" t="s">
        <v>5040</v>
      </c>
      <c r="CO1782" s="213" t="s">
        <v>888</v>
      </c>
      <c r="CP1782" s="213" t="s">
        <v>1290</v>
      </c>
      <c r="CQ1782" s="213" t="s">
        <v>5041</v>
      </c>
      <c r="CR1782" s="213" t="s">
        <v>5042</v>
      </c>
      <c r="CS1782" s="213" t="s">
        <v>881</v>
      </c>
      <c r="CT1782" s="213" t="s">
        <v>4951</v>
      </c>
      <c r="CU1782" s="213" t="s">
        <v>883</v>
      </c>
      <c r="CV1782" s="214" t="s">
        <v>884</v>
      </c>
      <c r="CX1782" s="212">
        <v>1</v>
      </c>
    </row>
    <row r="1783" spans="91:102" ht="21" customHeight="1">
      <c r="CM1783" s="210"/>
      <c r="CN1783" s="213" t="s">
        <v>5043</v>
      </c>
      <c r="CO1783" s="213" t="s">
        <v>888</v>
      </c>
      <c r="CP1783" s="213" t="s">
        <v>1290</v>
      </c>
      <c r="CQ1783" s="213" t="s">
        <v>5044</v>
      </c>
      <c r="CR1783" s="213" t="s">
        <v>5045</v>
      </c>
      <c r="CS1783" s="213" t="s">
        <v>4287</v>
      </c>
      <c r="CT1783" s="213" t="s">
        <v>4948</v>
      </c>
      <c r="CU1783" s="213" t="s">
        <v>1150</v>
      </c>
      <c r="CV1783" s="214" t="s">
        <v>4289</v>
      </c>
      <c r="CX1783" s="212">
        <v>1</v>
      </c>
    </row>
    <row r="1784" spans="91:102" ht="21" customHeight="1">
      <c r="CM1784" s="210"/>
      <c r="CN1784" s="213" t="s">
        <v>5046</v>
      </c>
      <c r="CO1784" s="213" t="s">
        <v>888</v>
      </c>
      <c r="CP1784" s="213" t="s">
        <v>1290</v>
      </c>
      <c r="CQ1784" s="213" t="s">
        <v>5047</v>
      </c>
      <c r="CR1784" s="213" t="s">
        <v>5047</v>
      </c>
      <c r="CS1784" s="213" t="s">
        <v>971</v>
      </c>
      <c r="CT1784" s="213" t="s">
        <v>1292</v>
      </c>
      <c r="CU1784" s="213" t="s">
        <v>883</v>
      </c>
      <c r="CV1784" s="214" t="s">
        <v>973</v>
      </c>
      <c r="CX1784" s="212">
        <v>1</v>
      </c>
    </row>
    <row r="1785" spans="91:102" ht="21" customHeight="1">
      <c r="CM1785" s="210"/>
      <c r="CN1785" s="213" t="s">
        <v>5048</v>
      </c>
      <c r="CO1785" s="213" t="s">
        <v>888</v>
      </c>
      <c r="CP1785" s="213" t="s">
        <v>1290</v>
      </c>
      <c r="CQ1785" s="213" t="s">
        <v>5049</v>
      </c>
      <c r="CR1785" s="213" t="s">
        <v>5049</v>
      </c>
      <c r="CS1785" s="213" t="s">
        <v>4287</v>
      </c>
      <c r="CT1785" s="213" t="s">
        <v>4948</v>
      </c>
      <c r="CU1785" s="213" t="s">
        <v>1150</v>
      </c>
      <c r="CV1785" s="214" t="s">
        <v>4289</v>
      </c>
      <c r="CX1785" s="212">
        <v>1</v>
      </c>
    </row>
    <row r="1786" spans="91:102" ht="21" customHeight="1">
      <c r="CM1786" s="210"/>
      <c r="CN1786" s="213" t="s">
        <v>5050</v>
      </c>
      <c r="CO1786" s="213" t="s">
        <v>888</v>
      </c>
      <c r="CP1786" s="213" t="s">
        <v>1290</v>
      </c>
      <c r="CQ1786" s="213" t="s">
        <v>5051</v>
      </c>
      <c r="CR1786" s="213" t="s">
        <v>5052</v>
      </c>
      <c r="CS1786" s="213" t="s">
        <v>4287</v>
      </c>
      <c r="CT1786" s="213" t="s">
        <v>4948</v>
      </c>
      <c r="CU1786" s="213" t="s">
        <v>1150</v>
      </c>
      <c r="CV1786" s="214" t="s">
        <v>4289</v>
      </c>
      <c r="CX1786" s="212">
        <v>1</v>
      </c>
    </row>
    <row r="1787" spans="91:102" ht="21" customHeight="1">
      <c r="CM1787" s="210"/>
      <c r="CN1787" s="213" t="s">
        <v>5053</v>
      </c>
      <c r="CO1787" s="213" t="s">
        <v>888</v>
      </c>
      <c r="CP1787" s="213" t="s">
        <v>1290</v>
      </c>
      <c r="CQ1787" s="213" t="s">
        <v>4150</v>
      </c>
      <c r="CR1787" s="213" t="s">
        <v>4150</v>
      </c>
      <c r="CS1787" s="213" t="s">
        <v>971</v>
      </c>
      <c r="CT1787" s="213" t="s">
        <v>1292</v>
      </c>
      <c r="CU1787" s="213" t="s">
        <v>883</v>
      </c>
      <c r="CV1787" s="214" t="s">
        <v>973</v>
      </c>
      <c r="CX1787" s="212">
        <v>1</v>
      </c>
    </row>
    <row r="1788" spans="91:102" ht="21" customHeight="1">
      <c r="CM1788" s="210"/>
      <c r="CN1788" s="213" t="s">
        <v>5054</v>
      </c>
      <c r="CO1788" s="213" t="s">
        <v>888</v>
      </c>
      <c r="CP1788" s="213" t="s">
        <v>1290</v>
      </c>
      <c r="CQ1788" s="213" t="s">
        <v>5055</v>
      </c>
      <c r="CR1788" s="213" t="s">
        <v>5055</v>
      </c>
      <c r="CS1788" s="213" t="s">
        <v>971</v>
      </c>
      <c r="CT1788" s="213" t="s">
        <v>1292</v>
      </c>
      <c r="CU1788" s="213" t="s">
        <v>883</v>
      </c>
      <c r="CV1788" s="214" t="s">
        <v>973</v>
      </c>
      <c r="CX1788" s="212">
        <v>1</v>
      </c>
    </row>
    <row r="1789" spans="91:102" ht="21" customHeight="1">
      <c r="CM1789" s="210"/>
      <c r="CN1789" s="213" t="s">
        <v>5056</v>
      </c>
      <c r="CO1789" s="213" t="s">
        <v>888</v>
      </c>
      <c r="CP1789" s="213" t="s">
        <v>1290</v>
      </c>
      <c r="CQ1789" s="213" t="s">
        <v>4229</v>
      </c>
      <c r="CR1789" s="213" t="s">
        <v>4229</v>
      </c>
      <c r="CS1789" s="213" t="s">
        <v>971</v>
      </c>
      <c r="CT1789" s="213" t="s">
        <v>1292</v>
      </c>
      <c r="CU1789" s="213" t="s">
        <v>883</v>
      </c>
      <c r="CV1789" s="214" t="s">
        <v>973</v>
      </c>
      <c r="CX1789" s="212">
        <v>1</v>
      </c>
    </row>
    <row r="1790" spans="91:102" ht="21" customHeight="1">
      <c r="CM1790" s="210"/>
      <c r="CN1790" s="213" t="s">
        <v>5057</v>
      </c>
      <c r="CO1790" s="213" t="s">
        <v>888</v>
      </c>
      <c r="CP1790" s="213" t="s">
        <v>1543</v>
      </c>
      <c r="CQ1790" s="213" t="s">
        <v>5058</v>
      </c>
      <c r="CR1790" s="213" t="s">
        <v>5058</v>
      </c>
      <c r="CS1790" s="213" t="s">
        <v>4287</v>
      </c>
      <c r="CT1790" s="213" t="s">
        <v>5059</v>
      </c>
      <c r="CU1790" s="213" t="s">
        <v>1150</v>
      </c>
      <c r="CV1790" s="214" t="s">
        <v>4289</v>
      </c>
      <c r="CX1790" s="212">
        <v>1</v>
      </c>
    </row>
    <row r="1791" spans="91:102" ht="21" customHeight="1">
      <c r="CM1791" s="210"/>
      <c r="CN1791" s="213" t="s">
        <v>5060</v>
      </c>
      <c r="CO1791" s="213" t="s">
        <v>888</v>
      </c>
      <c r="CP1791" s="213" t="s">
        <v>1543</v>
      </c>
      <c r="CQ1791" s="213" t="s">
        <v>5061</v>
      </c>
      <c r="CR1791" s="213" t="s">
        <v>5061</v>
      </c>
      <c r="CS1791" s="213" t="s">
        <v>4287</v>
      </c>
      <c r="CT1791" s="213" t="s">
        <v>5059</v>
      </c>
      <c r="CU1791" s="213" t="s">
        <v>1150</v>
      </c>
      <c r="CV1791" s="214" t="s">
        <v>4289</v>
      </c>
      <c r="CX1791" s="212">
        <v>1</v>
      </c>
    </row>
    <row r="1792" spans="91:102" ht="21" customHeight="1">
      <c r="CM1792" s="210"/>
      <c r="CN1792" s="213" t="s">
        <v>5062</v>
      </c>
      <c r="CO1792" s="213" t="s">
        <v>888</v>
      </c>
      <c r="CP1792" s="213" t="s">
        <v>1543</v>
      </c>
      <c r="CQ1792" s="213" t="s">
        <v>4306</v>
      </c>
      <c r="CR1792" s="213" t="s">
        <v>4306</v>
      </c>
      <c r="CS1792" s="213" t="s">
        <v>4287</v>
      </c>
      <c r="CT1792" s="213" t="s">
        <v>5059</v>
      </c>
      <c r="CU1792" s="213" t="s">
        <v>1150</v>
      </c>
      <c r="CV1792" s="214" t="s">
        <v>4289</v>
      </c>
      <c r="CX1792" s="212">
        <v>1</v>
      </c>
    </row>
    <row r="1793" spans="91:102" ht="21" customHeight="1">
      <c r="CM1793" s="210"/>
      <c r="CN1793" s="213" t="s">
        <v>5063</v>
      </c>
      <c r="CO1793" s="213" t="s">
        <v>888</v>
      </c>
      <c r="CP1793" s="213" t="s">
        <v>1543</v>
      </c>
      <c r="CQ1793" s="213" t="s">
        <v>5064</v>
      </c>
      <c r="CR1793" s="213" t="s">
        <v>5064</v>
      </c>
      <c r="CS1793" s="213" t="s">
        <v>881</v>
      </c>
      <c r="CT1793" s="213" t="s">
        <v>2134</v>
      </c>
      <c r="CU1793" s="213" t="s">
        <v>883</v>
      </c>
      <c r="CV1793" s="214" t="s">
        <v>884</v>
      </c>
      <c r="CX1793" s="212">
        <v>1</v>
      </c>
    </row>
    <row r="1794" spans="91:102" ht="21" customHeight="1">
      <c r="CM1794" s="210"/>
      <c r="CN1794" s="213" t="s">
        <v>5065</v>
      </c>
      <c r="CO1794" s="213" t="s">
        <v>888</v>
      </c>
      <c r="CP1794" s="213" t="s">
        <v>1543</v>
      </c>
      <c r="CQ1794" s="213" t="s">
        <v>5066</v>
      </c>
      <c r="CR1794" s="213" t="s">
        <v>5067</v>
      </c>
      <c r="CS1794" s="213" t="s">
        <v>881</v>
      </c>
      <c r="CT1794" s="213" t="s">
        <v>2134</v>
      </c>
      <c r="CU1794" s="213" t="s">
        <v>883</v>
      </c>
      <c r="CV1794" s="214" t="s">
        <v>884</v>
      </c>
      <c r="CX1794" s="212">
        <v>1</v>
      </c>
    </row>
    <row r="1795" spans="91:102" ht="21" customHeight="1">
      <c r="CM1795" s="210"/>
      <c r="CN1795" s="213" t="s">
        <v>5068</v>
      </c>
      <c r="CO1795" s="213" t="s">
        <v>888</v>
      </c>
      <c r="CP1795" s="213" t="s">
        <v>1543</v>
      </c>
      <c r="CQ1795" s="213" t="s">
        <v>1544</v>
      </c>
      <c r="CR1795" s="213" t="s">
        <v>1544</v>
      </c>
      <c r="CS1795" s="213" t="s">
        <v>881</v>
      </c>
      <c r="CT1795" s="213" t="s">
        <v>2134</v>
      </c>
      <c r="CU1795" s="213" t="s">
        <v>883</v>
      </c>
      <c r="CV1795" s="214" t="s">
        <v>884</v>
      </c>
      <c r="CX1795" s="212">
        <v>1</v>
      </c>
    </row>
    <row r="1796" spans="91:102" ht="21" customHeight="1">
      <c r="CM1796" s="210"/>
      <c r="CN1796" s="213" t="s">
        <v>5069</v>
      </c>
      <c r="CO1796" s="213" t="s">
        <v>888</v>
      </c>
      <c r="CP1796" s="213" t="s">
        <v>1543</v>
      </c>
      <c r="CQ1796" s="213" t="s">
        <v>1011</v>
      </c>
      <c r="CR1796" s="213" t="s">
        <v>1011</v>
      </c>
      <c r="CS1796" s="213" t="s">
        <v>881</v>
      </c>
      <c r="CT1796" s="213" t="s">
        <v>2134</v>
      </c>
      <c r="CU1796" s="213" t="s">
        <v>883</v>
      </c>
      <c r="CV1796" s="214" t="s">
        <v>884</v>
      </c>
      <c r="CX1796" s="212">
        <v>1</v>
      </c>
    </row>
    <row r="1797" spans="91:102" ht="21" customHeight="1">
      <c r="CM1797" s="210"/>
      <c r="CN1797" s="213" t="s">
        <v>5070</v>
      </c>
      <c r="CO1797" s="213" t="s">
        <v>888</v>
      </c>
      <c r="CP1797" s="213" t="s">
        <v>1543</v>
      </c>
      <c r="CQ1797" s="213" t="s">
        <v>1551</v>
      </c>
      <c r="CR1797" s="213" t="s">
        <v>1551</v>
      </c>
      <c r="CS1797" s="213" t="s">
        <v>971</v>
      </c>
      <c r="CT1797" s="213" t="s">
        <v>1552</v>
      </c>
      <c r="CU1797" s="213" t="s">
        <v>883</v>
      </c>
      <c r="CV1797" s="214" t="s">
        <v>973</v>
      </c>
      <c r="CX1797" s="212">
        <v>1</v>
      </c>
    </row>
    <row r="1798" spans="91:102" ht="21" customHeight="1">
      <c r="CM1798" s="210"/>
      <c r="CN1798" s="213" t="s">
        <v>5071</v>
      </c>
      <c r="CO1798" s="213" t="s">
        <v>888</v>
      </c>
      <c r="CP1798" s="213" t="s">
        <v>1543</v>
      </c>
      <c r="CQ1798" s="213" t="s">
        <v>1556</v>
      </c>
      <c r="CR1798" s="213" t="s">
        <v>1556</v>
      </c>
      <c r="CS1798" s="213" t="s">
        <v>971</v>
      </c>
      <c r="CT1798" s="213" t="s">
        <v>1552</v>
      </c>
      <c r="CU1798" s="213" t="s">
        <v>883</v>
      </c>
      <c r="CV1798" s="214" t="s">
        <v>973</v>
      </c>
      <c r="CX1798" s="212">
        <v>1</v>
      </c>
    </row>
    <row r="1799" spans="91:102" ht="21" customHeight="1">
      <c r="CM1799" s="210"/>
      <c r="CN1799" s="213" t="s">
        <v>5072</v>
      </c>
      <c r="CO1799" s="213" t="s">
        <v>888</v>
      </c>
      <c r="CP1799" s="213" t="s">
        <v>1543</v>
      </c>
      <c r="CQ1799" s="213" t="s">
        <v>2013</v>
      </c>
      <c r="CR1799" s="213" t="s">
        <v>2013</v>
      </c>
      <c r="CS1799" s="213" t="s">
        <v>4287</v>
      </c>
      <c r="CT1799" s="213" t="s">
        <v>5059</v>
      </c>
      <c r="CU1799" s="213" t="s">
        <v>1150</v>
      </c>
      <c r="CV1799" s="214" t="s">
        <v>4289</v>
      </c>
      <c r="CX1799" s="212">
        <v>1</v>
      </c>
    </row>
    <row r="1800" spans="91:102" ht="21" customHeight="1">
      <c r="CM1800" s="210"/>
      <c r="CN1800" s="213" t="s">
        <v>5073</v>
      </c>
      <c r="CO1800" s="213" t="s">
        <v>888</v>
      </c>
      <c r="CP1800" s="213" t="s">
        <v>1543</v>
      </c>
      <c r="CQ1800" s="213" t="s">
        <v>1559</v>
      </c>
      <c r="CR1800" s="213" t="s">
        <v>1559</v>
      </c>
      <c r="CS1800" s="213" t="s">
        <v>881</v>
      </c>
      <c r="CT1800" s="213" t="s">
        <v>2134</v>
      </c>
      <c r="CU1800" s="213" t="s">
        <v>883</v>
      </c>
      <c r="CV1800" s="214" t="s">
        <v>884</v>
      </c>
      <c r="CX1800" s="212">
        <v>1</v>
      </c>
    </row>
    <row r="1801" spans="91:102" ht="21" customHeight="1">
      <c r="CM1801" s="210"/>
      <c r="CN1801" s="213" t="s">
        <v>5074</v>
      </c>
      <c r="CO1801" s="213" t="s">
        <v>888</v>
      </c>
      <c r="CP1801" s="213" t="s">
        <v>1543</v>
      </c>
      <c r="CQ1801" s="213" t="s">
        <v>5075</v>
      </c>
      <c r="CR1801" s="213" t="s">
        <v>5075</v>
      </c>
      <c r="CS1801" s="213" t="s">
        <v>4287</v>
      </c>
      <c r="CT1801" s="213" t="s">
        <v>5059</v>
      </c>
      <c r="CU1801" s="213" t="s">
        <v>1150</v>
      </c>
      <c r="CV1801" s="214" t="s">
        <v>4289</v>
      </c>
      <c r="CX1801" s="212">
        <v>1</v>
      </c>
    </row>
    <row r="1802" spans="91:102" ht="21" customHeight="1">
      <c r="CM1802" s="210"/>
      <c r="CN1802" s="213" t="s">
        <v>5076</v>
      </c>
      <c r="CO1802" s="213" t="s">
        <v>888</v>
      </c>
      <c r="CP1802" s="213" t="s">
        <v>1543</v>
      </c>
      <c r="CQ1802" s="213" t="s">
        <v>5077</v>
      </c>
      <c r="CR1802" s="213" t="s">
        <v>5077</v>
      </c>
      <c r="CS1802" s="213" t="s">
        <v>4287</v>
      </c>
      <c r="CT1802" s="213" t="s">
        <v>5059</v>
      </c>
      <c r="CU1802" s="213" t="s">
        <v>1150</v>
      </c>
      <c r="CV1802" s="214" t="s">
        <v>4289</v>
      </c>
      <c r="CX1802" s="212">
        <v>1</v>
      </c>
    </row>
    <row r="1803" spans="91:102" ht="21" customHeight="1">
      <c r="CM1803" s="210"/>
      <c r="CN1803" s="213" t="s">
        <v>5078</v>
      </c>
      <c r="CO1803" s="213" t="s">
        <v>888</v>
      </c>
      <c r="CP1803" s="213" t="s">
        <v>1543</v>
      </c>
      <c r="CQ1803" s="213" t="s">
        <v>5079</v>
      </c>
      <c r="CR1803" s="213" t="s">
        <v>5079</v>
      </c>
      <c r="CS1803" s="213" t="s">
        <v>4287</v>
      </c>
      <c r="CT1803" s="213" t="s">
        <v>5059</v>
      </c>
      <c r="CU1803" s="213" t="s">
        <v>1150</v>
      </c>
      <c r="CV1803" s="214" t="s">
        <v>4289</v>
      </c>
      <c r="CX1803" s="212">
        <v>1</v>
      </c>
    </row>
    <row r="1804" spans="91:102" ht="21" customHeight="1">
      <c r="CM1804" s="210"/>
      <c r="CN1804" s="213" t="s">
        <v>5080</v>
      </c>
      <c r="CO1804" s="213" t="s">
        <v>888</v>
      </c>
      <c r="CP1804" s="213" t="s">
        <v>1543</v>
      </c>
      <c r="CQ1804" s="213" t="s">
        <v>5081</v>
      </c>
      <c r="CR1804" s="213" t="s">
        <v>5082</v>
      </c>
      <c r="CS1804" s="213" t="s">
        <v>881</v>
      </c>
      <c r="CT1804" s="213" t="s">
        <v>2134</v>
      </c>
      <c r="CU1804" s="213" t="s">
        <v>883</v>
      </c>
      <c r="CV1804" s="214" t="s">
        <v>884</v>
      </c>
      <c r="CX1804" s="212">
        <v>1</v>
      </c>
    </row>
    <row r="1805" spans="91:102" ht="21" customHeight="1">
      <c r="CM1805" s="210"/>
      <c r="CN1805" s="213" t="s">
        <v>5083</v>
      </c>
      <c r="CO1805" s="213" t="s">
        <v>888</v>
      </c>
      <c r="CP1805" s="213" t="s">
        <v>1543</v>
      </c>
      <c r="CQ1805" s="213" t="s">
        <v>1561</v>
      </c>
      <c r="CR1805" s="213" t="s">
        <v>1561</v>
      </c>
      <c r="CS1805" s="213" t="s">
        <v>881</v>
      </c>
      <c r="CT1805" s="213" t="s">
        <v>2134</v>
      </c>
      <c r="CU1805" s="213" t="s">
        <v>883</v>
      </c>
      <c r="CV1805" s="214" t="s">
        <v>884</v>
      </c>
      <c r="CX1805" s="212">
        <v>1</v>
      </c>
    </row>
    <row r="1806" spans="91:102" ht="21" customHeight="1">
      <c r="CM1806" s="210"/>
      <c r="CN1806" s="213" t="s">
        <v>5084</v>
      </c>
      <c r="CO1806" s="213" t="s">
        <v>888</v>
      </c>
      <c r="CP1806" s="213" t="s">
        <v>1543</v>
      </c>
      <c r="CQ1806" s="213" t="s">
        <v>2015</v>
      </c>
      <c r="CR1806" s="213" t="s">
        <v>2016</v>
      </c>
      <c r="CS1806" s="213" t="s">
        <v>4287</v>
      </c>
      <c r="CT1806" s="213" t="s">
        <v>5059</v>
      </c>
      <c r="CU1806" s="213" t="s">
        <v>1150</v>
      </c>
      <c r="CV1806" s="214" t="s">
        <v>4289</v>
      </c>
      <c r="CX1806" s="212">
        <v>1</v>
      </c>
    </row>
    <row r="1807" spans="91:102" ht="21" customHeight="1">
      <c r="CM1807" s="210"/>
      <c r="CN1807" s="213" t="s">
        <v>5085</v>
      </c>
      <c r="CO1807" s="213" t="s">
        <v>888</v>
      </c>
      <c r="CP1807" s="213" t="s">
        <v>1543</v>
      </c>
      <c r="CQ1807" s="213" t="s">
        <v>2018</v>
      </c>
      <c r="CR1807" s="213" t="s">
        <v>2019</v>
      </c>
      <c r="CS1807" s="213" t="s">
        <v>4287</v>
      </c>
      <c r="CT1807" s="213" t="s">
        <v>5059</v>
      </c>
      <c r="CU1807" s="213" t="s">
        <v>1150</v>
      </c>
      <c r="CV1807" s="214" t="s">
        <v>4289</v>
      </c>
      <c r="CX1807" s="212">
        <v>1</v>
      </c>
    </row>
    <row r="1808" spans="91:102" ht="21" customHeight="1">
      <c r="CM1808" s="210"/>
      <c r="CN1808" s="213" t="s">
        <v>5086</v>
      </c>
      <c r="CO1808" s="213" t="s">
        <v>888</v>
      </c>
      <c r="CP1808" s="213" t="s">
        <v>1543</v>
      </c>
      <c r="CQ1808" s="213" t="s">
        <v>2021</v>
      </c>
      <c r="CR1808" s="213" t="s">
        <v>2022</v>
      </c>
      <c r="CS1808" s="213" t="s">
        <v>4287</v>
      </c>
      <c r="CT1808" s="213" t="s">
        <v>5059</v>
      </c>
      <c r="CU1808" s="213" t="s">
        <v>1150</v>
      </c>
      <c r="CV1808" s="214" t="s">
        <v>4289</v>
      </c>
      <c r="CX1808" s="212">
        <v>1</v>
      </c>
    </row>
    <row r="1809" spans="91:102" ht="21" customHeight="1">
      <c r="CM1809" s="210"/>
      <c r="CN1809" s="213" t="s">
        <v>5087</v>
      </c>
      <c r="CO1809" s="213" t="s">
        <v>888</v>
      </c>
      <c r="CP1809" s="213" t="s">
        <v>1543</v>
      </c>
      <c r="CQ1809" s="213" t="s">
        <v>4482</v>
      </c>
      <c r="CR1809" s="213" t="s">
        <v>4483</v>
      </c>
      <c r="CS1809" s="213" t="s">
        <v>4287</v>
      </c>
      <c r="CT1809" s="213" t="s">
        <v>5059</v>
      </c>
      <c r="CU1809" s="213" t="s">
        <v>1150</v>
      </c>
      <c r="CV1809" s="214" t="s">
        <v>4289</v>
      </c>
      <c r="CX1809" s="212">
        <v>1</v>
      </c>
    </row>
    <row r="1810" spans="91:102" ht="21" customHeight="1">
      <c r="CM1810" s="210"/>
      <c r="CN1810" s="213" t="s">
        <v>5088</v>
      </c>
      <c r="CO1810" s="213" t="s">
        <v>888</v>
      </c>
      <c r="CP1810" s="213" t="s">
        <v>1543</v>
      </c>
      <c r="CQ1810" s="213" t="s">
        <v>5089</v>
      </c>
      <c r="CR1810" s="213" t="s">
        <v>5090</v>
      </c>
      <c r="CS1810" s="213" t="s">
        <v>881</v>
      </c>
      <c r="CT1810" s="213" t="s">
        <v>2134</v>
      </c>
      <c r="CU1810" s="213" t="s">
        <v>883</v>
      </c>
      <c r="CV1810" s="214" t="s">
        <v>884</v>
      </c>
      <c r="CX1810" s="212">
        <v>1</v>
      </c>
    </row>
    <row r="1811" spans="91:102" ht="21" customHeight="1">
      <c r="CM1811" s="210"/>
      <c r="CN1811" s="213" t="s">
        <v>5091</v>
      </c>
      <c r="CO1811" s="213" t="s">
        <v>888</v>
      </c>
      <c r="CP1811" s="213" t="s">
        <v>1543</v>
      </c>
      <c r="CQ1811" s="213" t="s">
        <v>5092</v>
      </c>
      <c r="CR1811" s="213" t="s">
        <v>5093</v>
      </c>
      <c r="CS1811" s="213" t="s">
        <v>4287</v>
      </c>
      <c r="CT1811" s="213" t="s">
        <v>5059</v>
      </c>
      <c r="CU1811" s="213" t="s">
        <v>1150</v>
      </c>
      <c r="CV1811" s="214" t="s">
        <v>4289</v>
      </c>
      <c r="CX1811" s="212">
        <v>1</v>
      </c>
    </row>
    <row r="1812" spans="91:102" ht="21" customHeight="1">
      <c r="CM1812" s="210"/>
      <c r="CN1812" s="213" t="s">
        <v>5094</v>
      </c>
      <c r="CO1812" s="213" t="s">
        <v>888</v>
      </c>
      <c r="CP1812" s="213" t="s">
        <v>1543</v>
      </c>
      <c r="CQ1812" s="213" t="s">
        <v>5095</v>
      </c>
      <c r="CR1812" s="213" t="s">
        <v>5096</v>
      </c>
      <c r="CS1812" s="213" t="s">
        <v>4287</v>
      </c>
      <c r="CT1812" s="213" t="s">
        <v>5059</v>
      </c>
      <c r="CU1812" s="213" t="s">
        <v>1150</v>
      </c>
      <c r="CV1812" s="214" t="s">
        <v>4289</v>
      </c>
      <c r="CX1812" s="212">
        <v>1</v>
      </c>
    </row>
    <row r="1813" spans="91:102" ht="21" customHeight="1">
      <c r="CM1813" s="210"/>
      <c r="CN1813" s="213" t="s">
        <v>5097</v>
      </c>
      <c r="CO1813" s="213" t="s">
        <v>888</v>
      </c>
      <c r="CP1813" s="213" t="s">
        <v>1543</v>
      </c>
      <c r="CQ1813" s="213" t="s">
        <v>2027</v>
      </c>
      <c r="CR1813" s="213" t="s">
        <v>2028</v>
      </c>
      <c r="CS1813" s="213" t="s">
        <v>4287</v>
      </c>
      <c r="CT1813" s="213" t="s">
        <v>5059</v>
      </c>
      <c r="CU1813" s="213" t="s">
        <v>1150</v>
      </c>
      <c r="CV1813" s="214" t="s">
        <v>4289</v>
      </c>
      <c r="CX1813" s="212">
        <v>1</v>
      </c>
    </row>
    <row r="1814" spans="91:102" ht="21" customHeight="1">
      <c r="CM1814" s="210"/>
      <c r="CN1814" s="213" t="s">
        <v>5098</v>
      </c>
      <c r="CO1814" s="213" t="s">
        <v>888</v>
      </c>
      <c r="CP1814" s="213" t="s">
        <v>1543</v>
      </c>
      <c r="CQ1814" s="213" t="s">
        <v>1040</v>
      </c>
      <c r="CR1814" s="213" t="s">
        <v>1040</v>
      </c>
      <c r="CS1814" s="213" t="s">
        <v>4287</v>
      </c>
      <c r="CT1814" s="213" t="s">
        <v>5059</v>
      </c>
      <c r="CU1814" s="213" t="s">
        <v>1150</v>
      </c>
      <c r="CV1814" s="214" t="s">
        <v>4289</v>
      </c>
      <c r="CX1814" s="212">
        <v>1</v>
      </c>
    </row>
    <row r="1815" spans="91:102" ht="21" customHeight="1">
      <c r="CM1815" s="210"/>
      <c r="CN1815" s="213" t="s">
        <v>5099</v>
      </c>
      <c r="CO1815" s="213" t="s">
        <v>888</v>
      </c>
      <c r="CP1815" s="213" t="s">
        <v>1543</v>
      </c>
      <c r="CQ1815" s="213" t="s">
        <v>5100</v>
      </c>
      <c r="CR1815" s="213" t="s">
        <v>5101</v>
      </c>
      <c r="CS1815" s="213" t="s">
        <v>4287</v>
      </c>
      <c r="CT1815" s="213" t="s">
        <v>5059</v>
      </c>
      <c r="CU1815" s="213" t="s">
        <v>1150</v>
      </c>
      <c r="CV1815" s="214" t="s">
        <v>4289</v>
      </c>
      <c r="CX1815" s="212">
        <v>1</v>
      </c>
    </row>
    <row r="1816" spans="91:102" ht="21" customHeight="1">
      <c r="CM1816" s="210"/>
      <c r="CN1816" s="213" t="s">
        <v>5102</v>
      </c>
      <c r="CO1816" s="213" t="s">
        <v>888</v>
      </c>
      <c r="CP1816" s="213" t="s">
        <v>1543</v>
      </c>
      <c r="CQ1816" s="213" t="s">
        <v>5103</v>
      </c>
      <c r="CR1816" s="213" t="s">
        <v>5103</v>
      </c>
      <c r="CS1816" s="213" t="s">
        <v>4287</v>
      </c>
      <c r="CT1816" s="213" t="s">
        <v>5059</v>
      </c>
      <c r="CU1816" s="213" t="s">
        <v>1150</v>
      </c>
      <c r="CV1816" s="214" t="s">
        <v>4289</v>
      </c>
      <c r="CX1816" s="212">
        <v>1</v>
      </c>
    </row>
    <row r="1817" spans="91:102" ht="21" customHeight="1">
      <c r="CM1817" s="210"/>
      <c r="CN1817" s="213" t="s">
        <v>5104</v>
      </c>
      <c r="CO1817" s="213" t="s">
        <v>888</v>
      </c>
      <c r="CP1817" s="213" t="s">
        <v>1543</v>
      </c>
      <c r="CQ1817" s="213" t="s">
        <v>5105</v>
      </c>
      <c r="CR1817" s="213" t="s">
        <v>5105</v>
      </c>
      <c r="CS1817" s="213" t="s">
        <v>881</v>
      </c>
      <c r="CT1817" s="213" t="s">
        <v>2134</v>
      </c>
      <c r="CU1817" s="213" t="s">
        <v>883</v>
      </c>
      <c r="CV1817" s="214" t="s">
        <v>884</v>
      </c>
      <c r="CX1817" s="212">
        <v>1</v>
      </c>
    </row>
    <row r="1818" spans="91:102" ht="21" customHeight="1">
      <c r="CM1818" s="210"/>
      <c r="CN1818" s="213" t="s">
        <v>5106</v>
      </c>
      <c r="CO1818" s="213" t="s">
        <v>888</v>
      </c>
      <c r="CP1818" s="213" t="s">
        <v>1543</v>
      </c>
      <c r="CQ1818" s="213" t="s">
        <v>5107</v>
      </c>
      <c r="CR1818" s="213" t="s">
        <v>5108</v>
      </c>
      <c r="CS1818" s="213" t="s">
        <v>4287</v>
      </c>
      <c r="CT1818" s="213" t="s">
        <v>5059</v>
      </c>
      <c r="CU1818" s="213" t="s">
        <v>1150</v>
      </c>
      <c r="CV1818" s="214" t="s">
        <v>4289</v>
      </c>
      <c r="CX1818" s="212">
        <v>1</v>
      </c>
    </row>
    <row r="1819" spans="91:102" ht="21" customHeight="1">
      <c r="CM1819" s="210"/>
      <c r="CN1819" s="213" t="s">
        <v>5109</v>
      </c>
      <c r="CO1819" s="213" t="s">
        <v>888</v>
      </c>
      <c r="CP1819" s="213" t="s">
        <v>1543</v>
      </c>
      <c r="CQ1819" s="213" t="s">
        <v>5110</v>
      </c>
      <c r="CR1819" s="213" t="s">
        <v>5110</v>
      </c>
      <c r="CS1819" s="213" t="s">
        <v>4287</v>
      </c>
      <c r="CT1819" s="213" t="s">
        <v>5059</v>
      </c>
      <c r="CU1819" s="213" t="s">
        <v>1150</v>
      </c>
      <c r="CV1819" s="214" t="s">
        <v>4289</v>
      </c>
      <c r="CX1819" s="212">
        <v>1</v>
      </c>
    </row>
    <row r="1820" spans="91:102" ht="21" customHeight="1">
      <c r="CM1820" s="210"/>
      <c r="CN1820" s="213" t="s">
        <v>5111</v>
      </c>
      <c r="CO1820" s="213" t="s">
        <v>888</v>
      </c>
      <c r="CP1820" s="213" t="s">
        <v>1543</v>
      </c>
      <c r="CQ1820" s="213" t="s">
        <v>2048</v>
      </c>
      <c r="CR1820" s="213" t="s">
        <v>2048</v>
      </c>
      <c r="CS1820" s="213" t="s">
        <v>4287</v>
      </c>
      <c r="CT1820" s="213" t="s">
        <v>5059</v>
      </c>
      <c r="CU1820" s="213" t="s">
        <v>1150</v>
      </c>
      <c r="CV1820" s="214" t="s">
        <v>4289</v>
      </c>
      <c r="CX1820" s="212">
        <v>1</v>
      </c>
    </row>
    <row r="1821" spans="91:102" ht="21" customHeight="1">
      <c r="CM1821" s="210"/>
      <c r="CN1821" s="213" t="s">
        <v>5112</v>
      </c>
      <c r="CO1821" s="213" t="s">
        <v>888</v>
      </c>
      <c r="CP1821" s="213" t="s">
        <v>1543</v>
      </c>
      <c r="CQ1821" s="213" t="s">
        <v>5113</v>
      </c>
      <c r="CR1821" s="213" t="s">
        <v>5114</v>
      </c>
      <c r="CS1821" s="213" t="s">
        <v>4287</v>
      </c>
      <c r="CT1821" s="213" t="s">
        <v>5059</v>
      </c>
      <c r="CU1821" s="213" t="s">
        <v>1150</v>
      </c>
      <c r="CV1821" s="214" t="s">
        <v>4289</v>
      </c>
      <c r="CX1821" s="212">
        <v>1</v>
      </c>
    </row>
    <row r="1822" spans="91:102" ht="21" customHeight="1">
      <c r="CM1822" s="210"/>
      <c r="CN1822" s="213" t="s">
        <v>5115</v>
      </c>
      <c r="CO1822" s="213" t="s">
        <v>888</v>
      </c>
      <c r="CP1822" s="213" t="s">
        <v>1543</v>
      </c>
      <c r="CQ1822" s="213" t="s">
        <v>5116</v>
      </c>
      <c r="CR1822" s="213" t="s">
        <v>5116</v>
      </c>
      <c r="CS1822" s="213" t="s">
        <v>4287</v>
      </c>
      <c r="CT1822" s="213" t="s">
        <v>5059</v>
      </c>
      <c r="CU1822" s="213" t="s">
        <v>1150</v>
      </c>
      <c r="CV1822" s="214" t="s">
        <v>4289</v>
      </c>
      <c r="CX1822" s="212">
        <v>1</v>
      </c>
    </row>
    <row r="1823" spans="91:102" ht="21" customHeight="1">
      <c r="CM1823" s="210"/>
      <c r="CN1823" s="213" t="s">
        <v>5117</v>
      </c>
      <c r="CO1823" s="213" t="s">
        <v>888</v>
      </c>
      <c r="CP1823" s="213" t="s">
        <v>1543</v>
      </c>
      <c r="CQ1823" s="213" t="s">
        <v>5118</v>
      </c>
      <c r="CR1823" s="213" t="s">
        <v>5118</v>
      </c>
      <c r="CS1823" s="213" t="s">
        <v>4287</v>
      </c>
      <c r="CT1823" s="213" t="s">
        <v>5059</v>
      </c>
      <c r="CU1823" s="213" t="s">
        <v>1150</v>
      </c>
      <c r="CV1823" s="214" t="s">
        <v>4289</v>
      </c>
      <c r="CX1823" s="212">
        <v>1</v>
      </c>
    </row>
    <row r="1824" spans="91:102" ht="21" customHeight="1">
      <c r="CM1824" s="210"/>
      <c r="CN1824" s="213" t="s">
        <v>5119</v>
      </c>
      <c r="CO1824" s="213" t="s">
        <v>888</v>
      </c>
      <c r="CP1824" s="213" t="s">
        <v>1543</v>
      </c>
      <c r="CQ1824" s="213" t="s">
        <v>4575</v>
      </c>
      <c r="CR1824" s="213" t="s">
        <v>4575</v>
      </c>
      <c r="CS1824" s="213" t="s">
        <v>4287</v>
      </c>
      <c r="CT1824" s="213" t="s">
        <v>5059</v>
      </c>
      <c r="CU1824" s="213" t="s">
        <v>1150</v>
      </c>
      <c r="CV1824" s="214" t="s">
        <v>4289</v>
      </c>
      <c r="CX1824" s="212">
        <v>1</v>
      </c>
    </row>
    <row r="1825" spans="91:102" ht="21" customHeight="1">
      <c r="CM1825" s="210"/>
      <c r="CN1825" s="213" t="s">
        <v>5120</v>
      </c>
      <c r="CO1825" s="213" t="s">
        <v>888</v>
      </c>
      <c r="CP1825" s="213" t="s">
        <v>1543</v>
      </c>
      <c r="CQ1825" s="213" t="s">
        <v>2152</v>
      </c>
      <c r="CR1825" s="213" t="s">
        <v>2152</v>
      </c>
      <c r="CS1825" s="213" t="s">
        <v>881</v>
      </c>
      <c r="CT1825" s="213" t="s">
        <v>2134</v>
      </c>
      <c r="CU1825" s="213" t="s">
        <v>883</v>
      </c>
      <c r="CV1825" s="214" t="s">
        <v>884</v>
      </c>
      <c r="CX1825" s="212">
        <v>1</v>
      </c>
    </row>
    <row r="1826" spans="91:102" ht="21" customHeight="1">
      <c r="CM1826" s="210"/>
      <c r="CN1826" s="213" t="s">
        <v>5121</v>
      </c>
      <c r="CO1826" s="213" t="s">
        <v>888</v>
      </c>
      <c r="CP1826" s="213" t="s">
        <v>1543</v>
      </c>
      <c r="CQ1826" s="213" t="s">
        <v>5122</v>
      </c>
      <c r="CR1826" s="213" t="s">
        <v>5122</v>
      </c>
      <c r="CS1826" s="213" t="s">
        <v>4287</v>
      </c>
      <c r="CT1826" s="213" t="s">
        <v>5059</v>
      </c>
      <c r="CU1826" s="213" t="s">
        <v>1150</v>
      </c>
      <c r="CV1826" s="214" t="s">
        <v>4289</v>
      </c>
      <c r="CX1826" s="212">
        <v>1</v>
      </c>
    </row>
    <row r="1827" spans="91:102" ht="21" customHeight="1">
      <c r="CM1827" s="210"/>
      <c r="CN1827" s="213" t="s">
        <v>5123</v>
      </c>
      <c r="CO1827" s="213" t="s">
        <v>888</v>
      </c>
      <c r="CP1827" s="213" t="s">
        <v>1543</v>
      </c>
      <c r="CQ1827" s="213" t="s">
        <v>5124</v>
      </c>
      <c r="CR1827" s="213" t="s">
        <v>5124</v>
      </c>
      <c r="CS1827" s="213" t="s">
        <v>4287</v>
      </c>
      <c r="CT1827" s="213" t="s">
        <v>5059</v>
      </c>
      <c r="CU1827" s="213" t="s">
        <v>1150</v>
      </c>
      <c r="CV1827" s="214" t="s">
        <v>4289</v>
      </c>
      <c r="CX1827" s="212">
        <v>1</v>
      </c>
    </row>
    <row r="1828" spans="91:102" ht="21" customHeight="1">
      <c r="CM1828" s="210"/>
      <c r="CN1828" s="213" t="s">
        <v>5125</v>
      </c>
      <c r="CO1828" s="213" t="s">
        <v>888</v>
      </c>
      <c r="CP1828" s="213" t="s">
        <v>1543</v>
      </c>
      <c r="CQ1828" s="213" t="s">
        <v>5126</v>
      </c>
      <c r="CR1828" s="213" t="s">
        <v>5126</v>
      </c>
      <c r="CS1828" s="213" t="s">
        <v>881</v>
      </c>
      <c r="CT1828" s="213" t="s">
        <v>2134</v>
      </c>
      <c r="CU1828" s="213" t="s">
        <v>883</v>
      </c>
      <c r="CV1828" s="214" t="s">
        <v>884</v>
      </c>
      <c r="CX1828" s="212">
        <v>1</v>
      </c>
    </row>
    <row r="1829" spans="91:102" ht="21" customHeight="1">
      <c r="CM1829" s="210"/>
      <c r="CN1829" s="213" t="s">
        <v>5127</v>
      </c>
      <c r="CO1829" s="213" t="s">
        <v>888</v>
      </c>
      <c r="CP1829" s="213" t="s">
        <v>1543</v>
      </c>
      <c r="CQ1829" s="213" t="s">
        <v>5128</v>
      </c>
      <c r="CR1829" s="213" t="s">
        <v>5128</v>
      </c>
      <c r="CS1829" s="213" t="s">
        <v>4287</v>
      </c>
      <c r="CT1829" s="213" t="s">
        <v>5059</v>
      </c>
      <c r="CU1829" s="213" t="s">
        <v>1150</v>
      </c>
      <c r="CV1829" s="214" t="s">
        <v>4289</v>
      </c>
      <c r="CX1829" s="212">
        <v>1</v>
      </c>
    </row>
    <row r="1830" spans="91:102" ht="21" customHeight="1">
      <c r="CM1830" s="210"/>
      <c r="CN1830" s="213" t="s">
        <v>5129</v>
      </c>
      <c r="CO1830" s="213" t="s">
        <v>888</v>
      </c>
      <c r="CP1830" s="213" t="s">
        <v>1543</v>
      </c>
      <c r="CQ1830" s="213" t="s">
        <v>5130</v>
      </c>
      <c r="CR1830" s="213" t="s">
        <v>5130</v>
      </c>
      <c r="CS1830" s="213" t="s">
        <v>4287</v>
      </c>
      <c r="CT1830" s="213" t="s">
        <v>5059</v>
      </c>
      <c r="CU1830" s="213" t="s">
        <v>1150</v>
      </c>
      <c r="CV1830" s="214" t="s">
        <v>4289</v>
      </c>
      <c r="CX1830" s="212">
        <v>1</v>
      </c>
    </row>
    <row r="1831" spans="91:102" ht="21" customHeight="1">
      <c r="CM1831" s="210"/>
      <c r="CN1831" s="213" t="s">
        <v>5131</v>
      </c>
      <c r="CO1831" s="213" t="s">
        <v>888</v>
      </c>
      <c r="CP1831" s="213" t="s">
        <v>1543</v>
      </c>
      <c r="CQ1831" s="213" t="s">
        <v>5132</v>
      </c>
      <c r="CR1831" s="213" t="s">
        <v>5132</v>
      </c>
      <c r="CS1831" s="213" t="s">
        <v>881</v>
      </c>
      <c r="CT1831" s="213" t="s">
        <v>2134</v>
      </c>
      <c r="CU1831" s="213" t="s">
        <v>883</v>
      </c>
      <c r="CV1831" s="214" t="s">
        <v>884</v>
      </c>
      <c r="CX1831" s="212">
        <v>1</v>
      </c>
    </row>
    <row r="1832" spans="91:102" ht="21" customHeight="1">
      <c r="CM1832" s="210"/>
      <c r="CN1832" s="213" t="s">
        <v>5133</v>
      </c>
      <c r="CO1832" s="213" t="s">
        <v>888</v>
      </c>
      <c r="CP1832" s="213" t="s">
        <v>1543</v>
      </c>
      <c r="CQ1832" s="213" t="s">
        <v>5134</v>
      </c>
      <c r="CR1832" s="213" t="s">
        <v>5135</v>
      </c>
      <c r="CS1832" s="213" t="s">
        <v>4287</v>
      </c>
      <c r="CT1832" s="213" t="s">
        <v>5059</v>
      </c>
      <c r="CU1832" s="213" t="s">
        <v>1150</v>
      </c>
      <c r="CV1832" s="214" t="s">
        <v>4289</v>
      </c>
      <c r="CX1832" s="212">
        <v>1</v>
      </c>
    </row>
    <row r="1833" spans="91:102" ht="21" customHeight="1">
      <c r="CM1833" s="210"/>
      <c r="CN1833" s="213" t="s">
        <v>5136</v>
      </c>
      <c r="CO1833" s="213" t="s">
        <v>888</v>
      </c>
      <c r="CP1833" s="213" t="s">
        <v>1543</v>
      </c>
      <c r="CQ1833" s="213" t="s">
        <v>4273</v>
      </c>
      <c r="CR1833" s="213" t="s">
        <v>4273</v>
      </c>
      <c r="CS1833" s="213" t="s">
        <v>881</v>
      </c>
      <c r="CT1833" s="213" t="s">
        <v>2134</v>
      </c>
      <c r="CU1833" s="213" t="s">
        <v>883</v>
      </c>
      <c r="CV1833" s="214" t="s">
        <v>884</v>
      </c>
      <c r="CX1833" s="212">
        <v>1</v>
      </c>
    </row>
    <row r="1834" spans="91:102" ht="21" customHeight="1">
      <c r="CM1834" s="210"/>
      <c r="CN1834" s="213" t="s">
        <v>5137</v>
      </c>
      <c r="CO1834" s="213" t="s">
        <v>888</v>
      </c>
      <c r="CP1834" s="213" t="s">
        <v>1543</v>
      </c>
      <c r="CQ1834" s="213" t="s">
        <v>2154</v>
      </c>
      <c r="CR1834" s="213" t="s">
        <v>2154</v>
      </c>
      <c r="CS1834" s="213" t="s">
        <v>881</v>
      </c>
      <c r="CT1834" s="213" t="s">
        <v>2134</v>
      </c>
      <c r="CU1834" s="213" t="s">
        <v>883</v>
      </c>
      <c r="CV1834" s="214" t="s">
        <v>884</v>
      </c>
      <c r="CX1834" s="212">
        <v>1</v>
      </c>
    </row>
    <row r="1835" spans="91:102" ht="21" customHeight="1">
      <c r="CM1835" s="210"/>
      <c r="CN1835" s="213" t="s">
        <v>5138</v>
      </c>
      <c r="CO1835" s="213" t="s">
        <v>888</v>
      </c>
      <c r="CP1835" s="213" t="s">
        <v>1543</v>
      </c>
      <c r="CQ1835" s="213" t="s">
        <v>5139</v>
      </c>
      <c r="CR1835" s="213" t="s">
        <v>5139</v>
      </c>
      <c r="CS1835" s="213" t="s">
        <v>4287</v>
      </c>
      <c r="CT1835" s="213" t="s">
        <v>5059</v>
      </c>
      <c r="CU1835" s="213" t="s">
        <v>1150</v>
      </c>
      <c r="CV1835" s="214" t="s">
        <v>4289</v>
      </c>
      <c r="CX1835" s="212">
        <v>1</v>
      </c>
    </row>
    <row r="1836" spans="91:102" ht="21" customHeight="1">
      <c r="CM1836" s="210"/>
      <c r="CN1836" s="213" t="s">
        <v>5140</v>
      </c>
      <c r="CO1836" s="213" t="s">
        <v>888</v>
      </c>
      <c r="CP1836" s="213" t="s">
        <v>1543</v>
      </c>
      <c r="CQ1836" s="213" t="s">
        <v>5141</v>
      </c>
      <c r="CR1836" s="213" t="s">
        <v>5141</v>
      </c>
      <c r="CS1836" s="213" t="s">
        <v>4287</v>
      </c>
      <c r="CT1836" s="213" t="s">
        <v>5059</v>
      </c>
      <c r="CU1836" s="213" t="s">
        <v>1150</v>
      </c>
      <c r="CV1836" s="214" t="s">
        <v>4289</v>
      </c>
      <c r="CX1836" s="212">
        <v>1</v>
      </c>
    </row>
    <row r="1837" spans="91:102" ht="21" customHeight="1">
      <c r="CM1837" s="210"/>
      <c r="CN1837" s="213" t="s">
        <v>5142</v>
      </c>
      <c r="CO1837" s="213" t="s">
        <v>888</v>
      </c>
      <c r="CP1837" s="213" t="s">
        <v>1543</v>
      </c>
      <c r="CQ1837" s="213" t="s">
        <v>5143</v>
      </c>
      <c r="CR1837" s="213" t="s">
        <v>5143</v>
      </c>
      <c r="CS1837" s="213" t="s">
        <v>881</v>
      </c>
      <c r="CT1837" s="213" t="s">
        <v>2134</v>
      </c>
      <c r="CU1837" s="213" t="s">
        <v>883</v>
      </c>
      <c r="CV1837" s="214" t="s">
        <v>884</v>
      </c>
      <c r="CX1837" s="212">
        <v>1</v>
      </c>
    </row>
    <row r="1838" spans="91:102" ht="21" customHeight="1">
      <c r="CM1838" s="210"/>
      <c r="CN1838" s="213" t="s">
        <v>5144</v>
      </c>
      <c r="CO1838" s="213" t="s">
        <v>888</v>
      </c>
      <c r="CP1838" s="213" t="s">
        <v>1543</v>
      </c>
      <c r="CQ1838" s="213" t="s">
        <v>5145</v>
      </c>
      <c r="CR1838" s="213" t="s">
        <v>5145</v>
      </c>
      <c r="CS1838" s="213" t="s">
        <v>881</v>
      </c>
      <c r="CT1838" s="213" t="s">
        <v>2134</v>
      </c>
      <c r="CU1838" s="213" t="s">
        <v>883</v>
      </c>
      <c r="CV1838" s="214" t="s">
        <v>884</v>
      </c>
      <c r="CX1838" s="212">
        <v>1</v>
      </c>
    </row>
    <row r="1839" spans="91:102" ht="21" customHeight="1">
      <c r="CM1839" s="210"/>
      <c r="CN1839" s="213" t="s">
        <v>5146</v>
      </c>
      <c r="CO1839" s="213" t="s">
        <v>888</v>
      </c>
      <c r="CP1839" s="213" t="s">
        <v>1543</v>
      </c>
      <c r="CQ1839" s="213" t="s">
        <v>5147</v>
      </c>
      <c r="CR1839" s="213" t="s">
        <v>5148</v>
      </c>
      <c r="CS1839" s="213" t="s">
        <v>4287</v>
      </c>
      <c r="CT1839" s="213" t="s">
        <v>5059</v>
      </c>
      <c r="CU1839" s="213" t="s">
        <v>1150</v>
      </c>
      <c r="CV1839" s="214" t="s">
        <v>4289</v>
      </c>
      <c r="CX1839" s="212">
        <v>1</v>
      </c>
    </row>
    <row r="1840" spans="91:102" ht="21" customHeight="1">
      <c r="CM1840" s="210"/>
      <c r="CN1840" s="213" t="s">
        <v>5149</v>
      </c>
      <c r="CO1840" s="213" t="s">
        <v>888</v>
      </c>
      <c r="CP1840" s="213" t="s">
        <v>1543</v>
      </c>
      <c r="CQ1840" s="213" t="s">
        <v>5150</v>
      </c>
      <c r="CR1840" s="213" t="s">
        <v>5150</v>
      </c>
      <c r="CS1840" s="213" t="s">
        <v>971</v>
      </c>
      <c r="CT1840" s="213" t="s">
        <v>1552</v>
      </c>
      <c r="CU1840" s="213" t="s">
        <v>883</v>
      </c>
      <c r="CV1840" s="214" t="s">
        <v>973</v>
      </c>
      <c r="CX1840" s="212">
        <v>1</v>
      </c>
    </row>
    <row r="1841" spans="91:102" ht="21" customHeight="1">
      <c r="CM1841" s="210"/>
      <c r="CN1841" s="213" t="s">
        <v>5151</v>
      </c>
      <c r="CO1841" s="213" t="s">
        <v>888</v>
      </c>
      <c r="CP1841" s="213" t="s">
        <v>1543</v>
      </c>
      <c r="CQ1841" s="213" t="s">
        <v>5152</v>
      </c>
      <c r="CR1841" s="213" t="s">
        <v>5153</v>
      </c>
      <c r="CS1841" s="213" t="s">
        <v>881</v>
      </c>
      <c r="CT1841" s="213" t="s">
        <v>2134</v>
      </c>
      <c r="CU1841" s="213" t="s">
        <v>883</v>
      </c>
      <c r="CV1841" s="214" t="s">
        <v>884</v>
      </c>
      <c r="CX1841" s="212">
        <v>1</v>
      </c>
    </row>
    <row r="1842" spans="91:102" ht="21" customHeight="1">
      <c r="CM1842" s="210"/>
      <c r="CN1842" s="213" t="s">
        <v>5154</v>
      </c>
      <c r="CO1842" s="213" t="s">
        <v>888</v>
      </c>
      <c r="CP1842" s="213" t="s">
        <v>1543</v>
      </c>
      <c r="CQ1842" s="213" t="s">
        <v>5155</v>
      </c>
      <c r="CR1842" s="213" t="s">
        <v>5155</v>
      </c>
      <c r="CS1842" s="213" t="s">
        <v>4287</v>
      </c>
      <c r="CT1842" s="213" t="s">
        <v>5059</v>
      </c>
      <c r="CU1842" s="213" t="s">
        <v>1150</v>
      </c>
      <c r="CV1842" s="214" t="s">
        <v>4289</v>
      </c>
      <c r="CX1842" s="212">
        <v>1</v>
      </c>
    </row>
    <row r="1843" spans="91:102" ht="21" customHeight="1">
      <c r="CM1843" s="210"/>
      <c r="CN1843" s="213" t="s">
        <v>5156</v>
      </c>
      <c r="CO1843" s="213" t="s">
        <v>888</v>
      </c>
      <c r="CP1843" s="213" t="s">
        <v>1543</v>
      </c>
      <c r="CQ1843" s="213" t="s">
        <v>5157</v>
      </c>
      <c r="CR1843" s="213" t="s">
        <v>5157</v>
      </c>
      <c r="CS1843" s="213" t="s">
        <v>4287</v>
      </c>
      <c r="CT1843" s="213" t="s">
        <v>5059</v>
      </c>
      <c r="CU1843" s="213" t="s">
        <v>1150</v>
      </c>
      <c r="CV1843" s="214" t="s">
        <v>4289</v>
      </c>
      <c r="CX1843" s="212">
        <v>1</v>
      </c>
    </row>
    <row r="1844" spans="91:102" ht="21" customHeight="1">
      <c r="CM1844" s="210"/>
      <c r="CN1844" s="213" t="s">
        <v>5158</v>
      </c>
      <c r="CO1844" s="213" t="s">
        <v>888</v>
      </c>
      <c r="CP1844" s="213" t="s">
        <v>1543</v>
      </c>
      <c r="CQ1844" s="213" t="s">
        <v>5159</v>
      </c>
      <c r="CR1844" s="213" t="s">
        <v>5160</v>
      </c>
      <c r="CS1844" s="213" t="s">
        <v>881</v>
      </c>
      <c r="CT1844" s="213" t="s">
        <v>2134</v>
      </c>
      <c r="CU1844" s="213" t="s">
        <v>883</v>
      </c>
      <c r="CV1844" s="214" t="s">
        <v>884</v>
      </c>
      <c r="CX1844" s="212">
        <v>1</v>
      </c>
    </row>
    <row r="1845" spans="91:102" ht="21" customHeight="1">
      <c r="CM1845" s="210"/>
      <c r="CN1845" s="213" t="s">
        <v>5161</v>
      </c>
      <c r="CO1845" s="213" t="s">
        <v>888</v>
      </c>
      <c r="CP1845" s="213" t="s">
        <v>1543</v>
      </c>
      <c r="CQ1845" s="213" t="s">
        <v>5162</v>
      </c>
      <c r="CR1845" s="213" t="s">
        <v>5163</v>
      </c>
      <c r="CS1845" s="213" t="s">
        <v>881</v>
      </c>
      <c r="CT1845" s="213" t="s">
        <v>2134</v>
      </c>
      <c r="CU1845" s="213" t="s">
        <v>883</v>
      </c>
      <c r="CV1845" s="214" t="s">
        <v>884</v>
      </c>
      <c r="CX1845" s="212">
        <v>1</v>
      </c>
    </row>
    <row r="1846" spans="91:102" ht="21" customHeight="1">
      <c r="CM1846" s="210"/>
      <c r="CN1846" s="213" t="s">
        <v>5164</v>
      </c>
      <c r="CO1846" s="213" t="s">
        <v>888</v>
      </c>
      <c r="CP1846" s="213" t="s">
        <v>1543</v>
      </c>
      <c r="CQ1846" s="213" t="s">
        <v>5165</v>
      </c>
      <c r="CR1846" s="213" t="s">
        <v>5166</v>
      </c>
      <c r="CS1846" s="213" t="s">
        <v>4287</v>
      </c>
      <c r="CT1846" s="213" t="s">
        <v>5059</v>
      </c>
      <c r="CU1846" s="213" t="s">
        <v>1150</v>
      </c>
      <c r="CV1846" s="214" t="s">
        <v>4289</v>
      </c>
      <c r="CX1846" s="212">
        <v>1</v>
      </c>
    </row>
    <row r="1847" spans="91:102" ht="21" customHeight="1">
      <c r="CM1847" s="210"/>
      <c r="CN1847" s="213" t="s">
        <v>5167</v>
      </c>
      <c r="CO1847" s="213" t="s">
        <v>888</v>
      </c>
      <c r="CP1847" s="213" t="s">
        <v>1543</v>
      </c>
      <c r="CQ1847" s="213" t="s">
        <v>1580</v>
      </c>
      <c r="CR1847" s="213" t="s">
        <v>1580</v>
      </c>
      <c r="CS1847" s="213" t="s">
        <v>881</v>
      </c>
      <c r="CT1847" s="213" t="s">
        <v>2134</v>
      </c>
      <c r="CU1847" s="213" t="s">
        <v>883</v>
      </c>
      <c r="CV1847" s="214" t="s">
        <v>884</v>
      </c>
      <c r="CX1847" s="212">
        <v>1</v>
      </c>
    </row>
    <row r="1848" spans="91:102" ht="21" customHeight="1">
      <c r="CM1848" s="210"/>
      <c r="CN1848" s="213" t="s">
        <v>5168</v>
      </c>
      <c r="CO1848" s="213" t="s">
        <v>888</v>
      </c>
      <c r="CP1848" s="213" t="s">
        <v>1543</v>
      </c>
      <c r="CQ1848" s="213" t="s">
        <v>1330</v>
      </c>
      <c r="CR1848" s="213" t="s">
        <v>1330</v>
      </c>
      <c r="CS1848" s="213" t="s">
        <v>4287</v>
      </c>
      <c r="CT1848" s="213" t="s">
        <v>5059</v>
      </c>
      <c r="CU1848" s="213" t="s">
        <v>1150</v>
      </c>
      <c r="CV1848" s="214" t="s">
        <v>4289</v>
      </c>
      <c r="CX1848" s="212">
        <v>1</v>
      </c>
    </row>
    <row r="1849" spans="91:102" ht="21" customHeight="1">
      <c r="CM1849" s="210"/>
      <c r="CN1849" s="213" t="s">
        <v>5169</v>
      </c>
      <c r="CO1849" s="213" t="s">
        <v>888</v>
      </c>
      <c r="CP1849" s="213" t="s">
        <v>1543</v>
      </c>
      <c r="CQ1849" s="213" t="s">
        <v>5170</v>
      </c>
      <c r="CR1849" s="213" t="s">
        <v>5170</v>
      </c>
      <c r="CS1849" s="213" t="s">
        <v>4287</v>
      </c>
      <c r="CT1849" s="213" t="s">
        <v>5059</v>
      </c>
      <c r="CU1849" s="213" t="s">
        <v>1150</v>
      </c>
      <c r="CV1849" s="214" t="s">
        <v>4289</v>
      </c>
      <c r="CX1849" s="212">
        <v>1</v>
      </c>
    </row>
    <row r="1850" spans="91:102" ht="21" customHeight="1">
      <c r="CM1850" s="210"/>
      <c r="CN1850" s="213" t="s">
        <v>5171</v>
      </c>
      <c r="CO1850" s="213" t="s">
        <v>888</v>
      </c>
      <c r="CP1850" s="213" t="s">
        <v>1543</v>
      </c>
      <c r="CQ1850" s="213" t="s">
        <v>5172</v>
      </c>
      <c r="CR1850" s="213" t="s">
        <v>5173</v>
      </c>
      <c r="CS1850" s="213" t="s">
        <v>4287</v>
      </c>
      <c r="CT1850" s="213" t="s">
        <v>5059</v>
      </c>
      <c r="CU1850" s="213" t="s">
        <v>1150</v>
      </c>
      <c r="CV1850" s="214" t="s">
        <v>4289</v>
      </c>
      <c r="CX1850" s="212">
        <v>1</v>
      </c>
    </row>
    <row r="1851" spans="91:102" ht="21" customHeight="1">
      <c r="CM1851" s="210"/>
      <c r="CN1851" s="213" t="s">
        <v>5174</v>
      </c>
      <c r="CO1851" s="213" t="s">
        <v>888</v>
      </c>
      <c r="CP1851" s="213" t="s">
        <v>1543</v>
      </c>
      <c r="CQ1851" s="213" t="s">
        <v>5175</v>
      </c>
      <c r="CR1851" s="213" t="s">
        <v>5175</v>
      </c>
      <c r="CS1851" s="213" t="s">
        <v>4287</v>
      </c>
      <c r="CT1851" s="213" t="s">
        <v>5059</v>
      </c>
      <c r="CU1851" s="213" t="s">
        <v>1150</v>
      </c>
      <c r="CV1851" s="214" t="s">
        <v>4289</v>
      </c>
      <c r="CX1851" s="212">
        <v>1</v>
      </c>
    </row>
    <row r="1852" spans="91:102" ht="21" customHeight="1">
      <c r="CM1852" s="210"/>
      <c r="CN1852" s="213" t="s">
        <v>5176</v>
      </c>
      <c r="CO1852" s="213" t="s">
        <v>888</v>
      </c>
      <c r="CP1852" s="213" t="s">
        <v>1543</v>
      </c>
      <c r="CQ1852" s="213" t="s">
        <v>1583</v>
      </c>
      <c r="CR1852" s="213" t="s">
        <v>1584</v>
      </c>
      <c r="CS1852" s="213" t="s">
        <v>971</v>
      </c>
      <c r="CT1852" s="213" t="s">
        <v>1552</v>
      </c>
      <c r="CU1852" s="213" t="s">
        <v>883</v>
      </c>
      <c r="CV1852" s="214" t="s">
        <v>973</v>
      </c>
      <c r="CX1852" s="212">
        <v>1</v>
      </c>
    </row>
    <row r="1853" spans="91:102" ht="21" customHeight="1">
      <c r="CM1853" s="210"/>
      <c r="CN1853" s="213" t="s">
        <v>5177</v>
      </c>
      <c r="CO1853" s="213" t="s">
        <v>888</v>
      </c>
      <c r="CP1853" s="213" t="s">
        <v>1543</v>
      </c>
      <c r="CQ1853" s="213" t="s">
        <v>5178</v>
      </c>
      <c r="CR1853" s="213" t="s">
        <v>5178</v>
      </c>
      <c r="CS1853" s="213" t="s">
        <v>881</v>
      </c>
      <c r="CT1853" s="213" t="s">
        <v>2134</v>
      </c>
      <c r="CU1853" s="213" t="s">
        <v>883</v>
      </c>
      <c r="CV1853" s="214" t="s">
        <v>884</v>
      </c>
      <c r="CX1853" s="212">
        <v>1</v>
      </c>
    </row>
    <row r="1854" spans="91:102" ht="21" customHeight="1">
      <c r="CM1854" s="210"/>
      <c r="CN1854" s="213" t="s">
        <v>5179</v>
      </c>
      <c r="CO1854" s="213" t="s">
        <v>888</v>
      </c>
      <c r="CP1854" s="213" t="s">
        <v>1543</v>
      </c>
      <c r="CQ1854" s="213" t="s">
        <v>5180</v>
      </c>
      <c r="CR1854" s="213" t="s">
        <v>5180</v>
      </c>
      <c r="CS1854" s="213" t="s">
        <v>4287</v>
      </c>
      <c r="CT1854" s="213" t="s">
        <v>5059</v>
      </c>
      <c r="CU1854" s="213" t="s">
        <v>1150</v>
      </c>
      <c r="CV1854" s="214" t="s">
        <v>4289</v>
      </c>
      <c r="CX1854" s="212">
        <v>1</v>
      </c>
    </row>
    <row r="1855" spans="91:102" ht="21" customHeight="1">
      <c r="CM1855" s="210"/>
      <c r="CN1855" s="213" t="s">
        <v>5181</v>
      </c>
      <c r="CO1855" s="213" t="s">
        <v>888</v>
      </c>
      <c r="CP1855" s="213" t="s">
        <v>1543</v>
      </c>
      <c r="CQ1855" s="213" t="s">
        <v>5182</v>
      </c>
      <c r="CR1855" s="213" t="s">
        <v>5182</v>
      </c>
      <c r="CS1855" s="213" t="s">
        <v>971</v>
      </c>
      <c r="CT1855" s="213" t="s">
        <v>1552</v>
      </c>
      <c r="CU1855" s="213" t="s">
        <v>883</v>
      </c>
      <c r="CV1855" s="214" t="s">
        <v>973</v>
      </c>
      <c r="CX1855" s="212">
        <v>1</v>
      </c>
    </row>
    <row r="1856" spans="91:102" ht="21" customHeight="1">
      <c r="CM1856" s="210"/>
      <c r="CN1856" s="213" t="s">
        <v>5183</v>
      </c>
      <c r="CO1856" s="213" t="s">
        <v>888</v>
      </c>
      <c r="CP1856" s="213" t="s">
        <v>1543</v>
      </c>
      <c r="CQ1856" s="213" t="s">
        <v>5184</v>
      </c>
      <c r="CR1856" s="213" t="s">
        <v>5185</v>
      </c>
      <c r="CS1856" s="213" t="s">
        <v>4287</v>
      </c>
      <c r="CT1856" s="213" t="s">
        <v>5059</v>
      </c>
      <c r="CU1856" s="213" t="s">
        <v>1150</v>
      </c>
      <c r="CV1856" s="214" t="s">
        <v>4289</v>
      </c>
      <c r="CX1856" s="212">
        <v>1</v>
      </c>
    </row>
    <row r="1857" spans="91:102" ht="21" customHeight="1">
      <c r="CM1857" s="210"/>
      <c r="CN1857" s="213" t="s">
        <v>5186</v>
      </c>
      <c r="CO1857" s="213" t="s">
        <v>888</v>
      </c>
      <c r="CP1857" s="213" t="s">
        <v>1543</v>
      </c>
      <c r="CQ1857" s="213" t="s">
        <v>1601</v>
      </c>
      <c r="CR1857" s="213" t="s">
        <v>1601</v>
      </c>
      <c r="CS1857" s="213" t="s">
        <v>881</v>
      </c>
      <c r="CT1857" s="213" t="s">
        <v>2134</v>
      </c>
      <c r="CU1857" s="213" t="s">
        <v>883</v>
      </c>
      <c r="CV1857" s="214" t="s">
        <v>884</v>
      </c>
      <c r="CX1857" s="212">
        <v>1</v>
      </c>
    </row>
    <row r="1858" spans="91:102" ht="21" customHeight="1">
      <c r="CM1858" s="210"/>
      <c r="CN1858" s="213" t="s">
        <v>5187</v>
      </c>
      <c r="CO1858" s="213" t="s">
        <v>888</v>
      </c>
      <c r="CP1858" s="213" t="s">
        <v>1543</v>
      </c>
      <c r="CQ1858" s="213" t="s">
        <v>5188</v>
      </c>
      <c r="CR1858" s="213" t="s">
        <v>5188</v>
      </c>
      <c r="CS1858" s="213" t="s">
        <v>4287</v>
      </c>
      <c r="CT1858" s="213" t="s">
        <v>5059</v>
      </c>
      <c r="CU1858" s="213" t="s">
        <v>1150</v>
      </c>
      <c r="CV1858" s="214" t="s">
        <v>4289</v>
      </c>
      <c r="CX1858" s="212">
        <v>1</v>
      </c>
    </row>
    <row r="1859" spans="91:102" ht="21" customHeight="1">
      <c r="CM1859" s="210"/>
      <c r="CN1859" s="213" t="s">
        <v>5189</v>
      </c>
      <c r="CO1859" s="213" t="s">
        <v>888</v>
      </c>
      <c r="CP1859" s="213" t="s">
        <v>1543</v>
      </c>
      <c r="CQ1859" s="213" t="s">
        <v>5190</v>
      </c>
      <c r="CR1859" s="213" t="s">
        <v>5190</v>
      </c>
      <c r="CS1859" s="213" t="s">
        <v>4287</v>
      </c>
      <c r="CT1859" s="213" t="s">
        <v>5059</v>
      </c>
      <c r="CU1859" s="213" t="s">
        <v>1150</v>
      </c>
      <c r="CV1859" s="214" t="s">
        <v>4289</v>
      </c>
      <c r="CX1859" s="212">
        <v>1</v>
      </c>
    </row>
    <row r="1860" spans="91:102" ht="21" customHeight="1">
      <c r="CM1860" s="210"/>
      <c r="CN1860" s="213" t="s">
        <v>5191</v>
      </c>
      <c r="CO1860" s="213" t="s">
        <v>888</v>
      </c>
      <c r="CP1860" s="213" t="s">
        <v>1543</v>
      </c>
      <c r="CQ1860" s="213" t="s">
        <v>5192</v>
      </c>
      <c r="CR1860" s="213" t="s">
        <v>5192</v>
      </c>
      <c r="CS1860" s="213" t="s">
        <v>4287</v>
      </c>
      <c r="CT1860" s="213" t="s">
        <v>5059</v>
      </c>
      <c r="CU1860" s="213" t="s">
        <v>1150</v>
      </c>
      <c r="CV1860" s="214" t="s">
        <v>4289</v>
      </c>
      <c r="CX1860" s="212">
        <v>1</v>
      </c>
    </row>
    <row r="1861" spans="91:102" ht="21" customHeight="1">
      <c r="CM1861" s="210"/>
      <c r="CN1861" s="213" t="s">
        <v>5193</v>
      </c>
      <c r="CO1861" s="213" t="s">
        <v>888</v>
      </c>
      <c r="CP1861" s="213" t="s">
        <v>1543</v>
      </c>
      <c r="CQ1861" s="213" t="s">
        <v>2177</v>
      </c>
      <c r="CR1861" s="213" t="s">
        <v>2177</v>
      </c>
      <c r="CS1861" s="213" t="s">
        <v>881</v>
      </c>
      <c r="CT1861" s="213" t="s">
        <v>2134</v>
      </c>
      <c r="CU1861" s="213" t="s">
        <v>883</v>
      </c>
      <c r="CV1861" s="214" t="s">
        <v>884</v>
      </c>
      <c r="CX1861" s="212">
        <v>1</v>
      </c>
    </row>
    <row r="1862" spans="91:102" ht="21" customHeight="1">
      <c r="CM1862" s="210"/>
      <c r="CN1862" s="213" t="s">
        <v>5194</v>
      </c>
      <c r="CO1862" s="213" t="s">
        <v>888</v>
      </c>
      <c r="CP1862" s="213" t="s">
        <v>1543</v>
      </c>
      <c r="CQ1862" s="213" t="s">
        <v>5195</v>
      </c>
      <c r="CR1862" s="213" t="s">
        <v>5195</v>
      </c>
      <c r="CS1862" s="213" t="s">
        <v>4287</v>
      </c>
      <c r="CT1862" s="213" t="s">
        <v>5059</v>
      </c>
      <c r="CU1862" s="213" t="s">
        <v>1150</v>
      </c>
      <c r="CV1862" s="214" t="s">
        <v>4289</v>
      </c>
      <c r="CX1862" s="212">
        <v>1</v>
      </c>
    </row>
    <row r="1863" spans="91:102" ht="21" customHeight="1">
      <c r="CM1863" s="210"/>
      <c r="CN1863" s="213" t="s">
        <v>5196</v>
      </c>
      <c r="CO1863" s="213" t="s">
        <v>888</v>
      </c>
      <c r="CP1863" s="213" t="s">
        <v>1543</v>
      </c>
      <c r="CQ1863" s="213" t="s">
        <v>5197</v>
      </c>
      <c r="CR1863" s="213" t="s">
        <v>5197</v>
      </c>
      <c r="CS1863" s="213" t="s">
        <v>4287</v>
      </c>
      <c r="CT1863" s="213" t="s">
        <v>5059</v>
      </c>
      <c r="CU1863" s="213" t="s">
        <v>1150</v>
      </c>
      <c r="CV1863" s="214" t="s">
        <v>4289</v>
      </c>
      <c r="CX1863" s="212">
        <v>1</v>
      </c>
    </row>
    <row r="1864" spans="91:102" ht="21" customHeight="1">
      <c r="CM1864" s="210"/>
      <c r="CN1864" s="213" t="s">
        <v>5198</v>
      </c>
      <c r="CO1864" s="213" t="s">
        <v>888</v>
      </c>
      <c r="CP1864" s="213" t="s">
        <v>1543</v>
      </c>
      <c r="CQ1864" s="213" t="s">
        <v>3910</v>
      </c>
      <c r="CR1864" s="213" t="s">
        <v>3910</v>
      </c>
      <c r="CS1864" s="213" t="s">
        <v>4287</v>
      </c>
      <c r="CT1864" s="213" t="s">
        <v>5059</v>
      </c>
      <c r="CU1864" s="213" t="s">
        <v>1150</v>
      </c>
      <c r="CV1864" s="214" t="s">
        <v>4289</v>
      </c>
      <c r="CX1864" s="212">
        <v>1</v>
      </c>
    </row>
    <row r="1865" spans="91:102" ht="21" customHeight="1">
      <c r="CM1865" s="210"/>
      <c r="CN1865" s="213" t="s">
        <v>5199</v>
      </c>
      <c r="CO1865" s="213" t="s">
        <v>888</v>
      </c>
      <c r="CP1865" s="213" t="s">
        <v>1543</v>
      </c>
      <c r="CQ1865" s="213" t="s">
        <v>2131</v>
      </c>
      <c r="CR1865" s="213" t="s">
        <v>2131</v>
      </c>
      <c r="CS1865" s="213" t="s">
        <v>4287</v>
      </c>
      <c r="CT1865" s="213" t="s">
        <v>5059</v>
      </c>
      <c r="CU1865" s="213" t="s">
        <v>1150</v>
      </c>
      <c r="CV1865" s="214" t="s">
        <v>4289</v>
      </c>
      <c r="CX1865" s="212">
        <v>1</v>
      </c>
    </row>
    <row r="1866" spans="91:102" ht="21" customHeight="1">
      <c r="CM1866" s="210"/>
      <c r="CN1866" s="213" t="s">
        <v>5200</v>
      </c>
      <c r="CO1866" s="213" t="s">
        <v>888</v>
      </c>
      <c r="CP1866" s="213" t="s">
        <v>1543</v>
      </c>
      <c r="CQ1866" s="213" t="s">
        <v>5201</v>
      </c>
      <c r="CR1866" s="213" t="s">
        <v>5201</v>
      </c>
      <c r="CS1866" s="213" t="s">
        <v>4287</v>
      </c>
      <c r="CT1866" s="213" t="s">
        <v>5059</v>
      </c>
      <c r="CU1866" s="213" t="s">
        <v>1150</v>
      </c>
      <c r="CV1866" s="214" t="s">
        <v>4289</v>
      </c>
      <c r="CX1866" s="212">
        <v>1</v>
      </c>
    </row>
    <row r="1867" spans="91:102" ht="21" customHeight="1">
      <c r="CM1867" s="210"/>
      <c r="CN1867" s="213" t="s">
        <v>5202</v>
      </c>
      <c r="CO1867" s="213" t="s">
        <v>888</v>
      </c>
      <c r="CP1867" s="213" t="s">
        <v>1543</v>
      </c>
      <c r="CQ1867" s="213" t="s">
        <v>5203</v>
      </c>
      <c r="CR1867" s="213" t="s">
        <v>5204</v>
      </c>
      <c r="CS1867" s="213" t="s">
        <v>881</v>
      </c>
      <c r="CT1867" s="213" t="s">
        <v>2134</v>
      </c>
      <c r="CU1867" s="213" t="s">
        <v>883</v>
      </c>
      <c r="CV1867" s="214" t="s">
        <v>884</v>
      </c>
      <c r="CX1867" s="212">
        <v>1</v>
      </c>
    </row>
    <row r="1868" spans="91:102" ht="21" customHeight="1">
      <c r="CM1868" s="210"/>
      <c r="CN1868" s="213" t="s">
        <v>5205</v>
      </c>
      <c r="CO1868" s="213" t="s">
        <v>888</v>
      </c>
      <c r="CP1868" s="213" t="s">
        <v>1543</v>
      </c>
      <c r="CQ1868" s="213" t="s">
        <v>1423</v>
      </c>
      <c r="CR1868" s="213" t="s">
        <v>1423</v>
      </c>
      <c r="CS1868" s="213" t="s">
        <v>881</v>
      </c>
      <c r="CT1868" s="213" t="s">
        <v>2134</v>
      </c>
      <c r="CU1868" s="213" t="s">
        <v>883</v>
      </c>
      <c r="CV1868" s="214" t="s">
        <v>884</v>
      </c>
      <c r="CX1868" s="212">
        <v>1</v>
      </c>
    </row>
    <row r="1869" spans="91:102" ht="21" customHeight="1">
      <c r="CM1869" s="210"/>
      <c r="CN1869" s="213" t="s">
        <v>5206</v>
      </c>
      <c r="CO1869" s="213" t="s">
        <v>888</v>
      </c>
      <c r="CP1869" s="213" t="s">
        <v>1543</v>
      </c>
      <c r="CQ1869" s="213" t="s">
        <v>5207</v>
      </c>
      <c r="CR1869" s="213" t="s">
        <v>5207</v>
      </c>
      <c r="CS1869" s="213" t="s">
        <v>881</v>
      </c>
      <c r="CT1869" s="213" t="s">
        <v>2134</v>
      </c>
      <c r="CU1869" s="213" t="s">
        <v>883</v>
      </c>
      <c r="CV1869" s="214" t="s">
        <v>884</v>
      </c>
      <c r="CX1869" s="212">
        <v>1</v>
      </c>
    </row>
    <row r="1870" spans="91:102" ht="21" customHeight="1">
      <c r="CM1870" s="210"/>
      <c r="CN1870" s="213" t="s">
        <v>5208</v>
      </c>
      <c r="CO1870" s="213" t="s">
        <v>888</v>
      </c>
      <c r="CP1870" s="213" t="s">
        <v>2185</v>
      </c>
      <c r="CQ1870" s="213" t="s">
        <v>2186</v>
      </c>
      <c r="CR1870" s="213" t="s">
        <v>2186</v>
      </c>
      <c r="CS1870" s="213" t="s">
        <v>971</v>
      </c>
      <c r="CT1870" s="213" t="s">
        <v>2187</v>
      </c>
      <c r="CU1870" s="213" t="s">
        <v>883</v>
      </c>
      <c r="CV1870" s="214" t="s">
        <v>973</v>
      </c>
      <c r="CX1870" s="212">
        <v>1</v>
      </c>
    </row>
    <row r="1871" spans="91:102" ht="21" customHeight="1">
      <c r="CM1871" s="210"/>
      <c r="CN1871" s="213" t="s">
        <v>5209</v>
      </c>
      <c r="CO1871" s="213" t="s">
        <v>888</v>
      </c>
      <c r="CP1871" s="213" t="s">
        <v>2185</v>
      </c>
      <c r="CQ1871" s="213" t="s">
        <v>2189</v>
      </c>
      <c r="CR1871" s="213" t="s">
        <v>2190</v>
      </c>
      <c r="CS1871" s="213" t="s">
        <v>971</v>
      </c>
      <c r="CT1871" s="213" t="s">
        <v>2187</v>
      </c>
      <c r="CU1871" s="213" t="s">
        <v>883</v>
      </c>
      <c r="CV1871" s="214" t="s">
        <v>973</v>
      </c>
      <c r="CX1871" s="212">
        <v>1</v>
      </c>
    </row>
    <row r="1872" spans="91:102" ht="21" customHeight="1">
      <c r="CM1872" s="210"/>
      <c r="CN1872" s="213" t="s">
        <v>5210</v>
      </c>
      <c r="CO1872" s="213" t="s">
        <v>888</v>
      </c>
      <c r="CP1872" s="213" t="s">
        <v>2185</v>
      </c>
      <c r="CQ1872" s="213" t="s">
        <v>2192</v>
      </c>
      <c r="CR1872" s="213" t="s">
        <v>2193</v>
      </c>
      <c r="CS1872" s="213" t="s">
        <v>971</v>
      </c>
      <c r="CT1872" s="213" t="s">
        <v>2187</v>
      </c>
      <c r="CU1872" s="213" t="s">
        <v>883</v>
      </c>
      <c r="CV1872" s="214" t="s">
        <v>973</v>
      </c>
      <c r="CX1872" s="212">
        <v>1</v>
      </c>
    </row>
    <row r="1873" spans="91:102" ht="21" customHeight="1">
      <c r="CM1873" s="210"/>
      <c r="CN1873" s="213" t="s">
        <v>5211</v>
      </c>
      <c r="CO1873" s="213" t="s">
        <v>888</v>
      </c>
      <c r="CP1873" s="213" t="s">
        <v>2185</v>
      </c>
      <c r="CQ1873" s="213" t="s">
        <v>2195</v>
      </c>
      <c r="CR1873" s="213" t="s">
        <v>2196</v>
      </c>
      <c r="CS1873" s="213" t="s">
        <v>971</v>
      </c>
      <c r="CT1873" s="213" t="s">
        <v>2187</v>
      </c>
      <c r="CU1873" s="213" t="s">
        <v>883</v>
      </c>
      <c r="CV1873" s="214" t="s">
        <v>973</v>
      </c>
      <c r="CX1873" s="212">
        <v>1</v>
      </c>
    </row>
    <row r="1874" spans="91:102" ht="21" customHeight="1">
      <c r="CM1874" s="210"/>
      <c r="CN1874" s="213" t="s">
        <v>5212</v>
      </c>
      <c r="CO1874" s="213" t="s">
        <v>888</v>
      </c>
      <c r="CP1874" s="213" t="s">
        <v>2185</v>
      </c>
      <c r="CQ1874" s="213" t="s">
        <v>1488</v>
      </c>
      <c r="CR1874" s="213" t="s">
        <v>1489</v>
      </c>
      <c r="CS1874" s="213" t="s">
        <v>971</v>
      </c>
      <c r="CT1874" s="213" t="s">
        <v>2187</v>
      </c>
      <c r="CU1874" s="213" t="s">
        <v>883</v>
      </c>
      <c r="CV1874" s="214" t="s">
        <v>973</v>
      </c>
      <c r="CX1874" s="212">
        <v>1</v>
      </c>
    </row>
    <row r="1875" spans="91:102" ht="21" customHeight="1">
      <c r="CM1875" s="210"/>
      <c r="CN1875" s="213" t="s">
        <v>5213</v>
      </c>
      <c r="CO1875" s="213" t="s">
        <v>888</v>
      </c>
      <c r="CP1875" s="213" t="s">
        <v>2185</v>
      </c>
      <c r="CQ1875" s="213" t="s">
        <v>1492</v>
      </c>
      <c r="CR1875" s="213" t="s">
        <v>1493</v>
      </c>
      <c r="CS1875" s="213" t="s">
        <v>971</v>
      </c>
      <c r="CT1875" s="213" t="s">
        <v>2187</v>
      </c>
      <c r="CU1875" s="213" t="s">
        <v>883</v>
      </c>
      <c r="CV1875" s="214" t="s">
        <v>973</v>
      </c>
      <c r="CX1875" s="212">
        <v>1</v>
      </c>
    </row>
    <row r="1876" spans="91:102" ht="21" customHeight="1">
      <c r="CM1876" s="210"/>
      <c r="CN1876" s="213" t="s">
        <v>5214</v>
      </c>
      <c r="CO1876" s="213" t="s">
        <v>888</v>
      </c>
      <c r="CP1876" s="213" t="s">
        <v>2185</v>
      </c>
      <c r="CQ1876" s="213" t="s">
        <v>1504</v>
      </c>
      <c r="CR1876" s="213" t="s">
        <v>1505</v>
      </c>
      <c r="CS1876" s="213" t="s">
        <v>971</v>
      </c>
      <c r="CT1876" s="213" t="s">
        <v>2187</v>
      </c>
      <c r="CU1876" s="213" t="s">
        <v>883</v>
      </c>
      <c r="CV1876" s="214" t="s">
        <v>973</v>
      </c>
      <c r="CX1876" s="212">
        <v>1</v>
      </c>
    </row>
    <row r="1877" spans="91:102" ht="21" customHeight="1">
      <c r="CM1877" s="210"/>
      <c r="CN1877" s="213" t="s">
        <v>5215</v>
      </c>
      <c r="CO1877" s="213" t="s">
        <v>888</v>
      </c>
      <c r="CP1877" s="213" t="s">
        <v>2185</v>
      </c>
      <c r="CQ1877" s="213" t="s">
        <v>2201</v>
      </c>
      <c r="CR1877" s="213" t="s">
        <v>2201</v>
      </c>
      <c r="CS1877" s="213" t="s">
        <v>971</v>
      </c>
      <c r="CT1877" s="213" t="s">
        <v>2187</v>
      </c>
      <c r="CU1877" s="213" t="s">
        <v>883</v>
      </c>
      <c r="CV1877" s="214" t="s">
        <v>973</v>
      </c>
      <c r="CX1877" s="212">
        <v>1</v>
      </c>
    </row>
    <row r="1878" spans="91:102" ht="21" customHeight="1">
      <c r="CM1878" s="210"/>
      <c r="CN1878" s="213" t="s">
        <v>5216</v>
      </c>
      <c r="CO1878" s="213" t="s">
        <v>888</v>
      </c>
      <c r="CP1878" s="213" t="s">
        <v>2185</v>
      </c>
      <c r="CQ1878" s="213" t="s">
        <v>2203</v>
      </c>
      <c r="CR1878" s="213" t="s">
        <v>2203</v>
      </c>
      <c r="CS1878" s="213" t="s">
        <v>971</v>
      </c>
      <c r="CT1878" s="213" t="s">
        <v>2187</v>
      </c>
      <c r="CU1878" s="213" t="s">
        <v>883</v>
      </c>
      <c r="CV1878" s="214" t="s">
        <v>973</v>
      </c>
      <c r="CX1878" s="212">
        <v>1</v>
      </c>
    </row>
    <row r="1879" spans="91:102" ht="21" customHeight="1">
      <c r="CM1879" s="210"/>
      <c r="CN1879" s="213" t="s">
        <v>5217</v>
      </c>
      <c r="CO1879" s="213" t="s">
        <v>898</v>
      </c>
      <c r="CP1879" s="213" t="s">
        <v>879</v>
      </c>
      <c r="CQ1879" s="213" t="s">
        <v>5218</v>
      </c>
      <c r="CR1879" s="213" t="s">
        <v>5218</v>
      </c>
      <c r="CS1879" s="213" t="s">
        <v>971</v>
      </c>
      <c r="CT1879" s="213" t="s">
        <v>972</v>
      </c>
      <c r="CU1879" s="213" t="s">
        <v>883</v>
      </c>
      <c r="CV1879" s="214" t="s">
        <v>973</v>
      </c>
      <c r="CX1879" s="212">
        <v>1</v>
      </c>
    </row>
    <row r="1880" spans="91:102" ht="21" customHeight="1">
      <c r="CM1880" s="210"/>
      <c r="CN1880" s="213" t="s">
        <v>5219</v>
      </c>
      <c r="CO1880" s="213" t="s">
        <v>898</v>
      </c>
      <c r="CP1880" s="213" t="s">
        <v>879</v>
      </c>
      <c r="CQ1880" s="213" t="s">
        <v>5220</v>
      </c>
      <c r="CR1880" s="213" t="s">
        <v>5220</v>
      </c>
      <c r="CS1880" s="213" t="s">
        <v>971</v>
      </c>
      <c r="CT1880" s="213" t="s">
        <v>972</v>
      </c>
      <c r="CU1880" s="213" t="s">
        <v>883</v>
      </c>
      <c r="CV1880" s="214" t="s">
        <v>973</v>
      </c>
      <c r="CX1880" s="212">
        <v>1</v>
      </c>
    </row>
    <row r="1881" spans="91:102" ht="21" customHeight="1">
      <c r="CM1881" s="210"/>
      <c r="CN1881" s="213" t="s">
        <v>5221</v>
      </c>
      <c r="CO1881" s="213" t="s">
        <v>898</v>
      </c>
      <c r="CP1881" s="213" t="s">
        <v>879</v>
      </c>
      <c r="CQ1881" s="213" t="s">
        <v>5222</v>
      </c>
      <c r="CR1881" s="213" t="s">
        <v>5222</v>
      </c>
      <c r="CS1881" s="213" t="s">
        <v>881</v>
      </c>
      <c r="CT1881" s="213" t="s">
        <v>5223</v>
      </c>
      <c r="CU1881" s="213" t="s">
        <v>883</v>
      </c>
      <c r="CV1881" s="214" t="s">
        <v>884</v>
      </c>
      <c r="CX1881" s="212">
        <v>1</v>
      </c>
    </row>
    <row r="1882" spans="91:102" ht="21" customHeight="1">
      <c r="CM1882" s="210"/>
      <c r="CN1882" s="213" t="s">
        <v>5224</v>
      </c>
      <c r="CO1882" s="213" t="s">
        <v>898</v>
      </c>
      <c r="CP1882" s="213" t="s">
        <v>879</v>
      </c>
      <c r="CQ1882" s="213" t="s">
        <v>5225</v>
      </c>
      <c r="CR1882" s="213" t="s">
        <v>5225</v>
      </c>
      <c r="CS1882" s="213" t="s">
        <v>881</v>
      </c>
      <c r="CT1882" s="213" t="s">
        <v>5223</v>
      </c>
      <c r="CU1882" s="213" t="s">
        <v>883</v>
      </c>
      <c r="CV1882" s="214" t="s">
        <v>884</v>
      </c>
      <c r="CX1882" s="212">
        <v>1</v>
      </c>
    </row>
    <row r="1883" spans="91:102" ht="21" customHeight="1">
      <c r="CM1883" s="210"/>
      <c r="CN1883" s="213" t="s">
        <v>5226</v>
      </c>
      <c r="CO1883" s="213" t="s">
        <v>898</v>
      </c>
      <c r="CP1883" s="213" t="s">
        <v>879</v>
      </c>
      <c r="CQ1883" s="213" t="s">
        <v>5227</v>
      </c>
      <c r="CR1883" s="213" t="s">
        <v>5227</v>
      </c>
      <c r="CS1883" s="213" t="s">
        <v>881</v>
      </c>
      <c r="CT1883" s="213" t="s">
        <v>5223</v>
      </c>
      <c r="CU1883" s="213" t="s">
        <v>883</v>
      </c>
      <c r="CV1883" s="214" t="s">
        <v>884</v>
      </c>
      <c r="CX1883" s="212">
        <v>1</v>
      </c>
    </row>
    <row r="1884" spans="91:102" ht="21" customHeight="1">
      <c r="CM1884" s="210"/>
      <c r="CN1884" s="213" t="s">
        <v>5228</v>
      </c>
      <c r="CO1884" s="213" t="s">
        <v>898</v>
      </c>
      <c r="CP1884" s="213" t="s">
        <v>879</v>
      </c>
      <c r="CQ1884" s="213" t="s">
        <v>5229</v>
      </c>
      <c r="CR1884" s="213" t="s">
        <v>5229</v>
      </c>
      <c r="CS1884" s="213" t="s">
        <v>881</v>
      </c>
      <c r="CT1884" s="213" t="s">
        <v>5223</v>
      </c>
      <c r="CU1884" s="213" t="s">
        <v>883</v>
      </c>
      <c r="CV1884" s="214" t="s">
        <v>884</v>
      </c>
      <c r="CX1884" s="212">
        <v>1</v>
      </c>
    </row>
    <row r="1885" spans="91:102" ht="21" customHeight="1">
      <c r="CM1885" s="210"/>
      <c r="CN1885" s="213" t="s">
        <v>5230</v>
      </c>
      <c r="CO1885" s="213" t="s">
        <v>898</v>
      </c>
      <c r="CP1885" s="213" t="s">
        <v>879</v>
      </c>
      <c r="CQ1885" s="213" t="s">
        <v>5231</v>
      </c>
      <c r="CR1885" s="213" t="s">
        <v>5231</v>
      </c>
      <c r="CS1885" s="213" t="s">
        <v>971</v>
      </c>
      <c r="CT1885" s="213" t="s">
        <v>972</v>
      </c>
      <c r="CU1885" s="213" t="s">
        <v>883</v>
      </c>
      <c r="CV1885" s="214" t="s">
        <v>973</v>
      </c>
      <c r="CX1885" s="212">
        <v>1</v>
      </c>
    </row>
    <row r="1886" spans="91:102" ht="21" customHeight="1">
      <c r="CM1886" s="210"/>
      <c r="CN1886" s="213" t="s">
        <v>5232</v>
      </c>
      <c r="CO1886" s="213" t="s">
        <v>898</v>
      </c>
      <c r="CP1886" s="213" t="s">
        <v>879</v>
      </c>
      <c r="CQ1886" s="213" t="s">
        <v>5233</v>
      </c>
      <c r="CR1886" s="213" t="s">
        <v>5233</v>
      </c>
      <c r="CS1886" s="213" t="s">
        <v>971</v>
      </c>
      <c r="CT1886" s="213" t="s">
        <v>972</v>
      </c>
      <c r="CU1886" s="213" t="s">
        <v>883</v>
      </c>
      <c r="CV1886" s="214" t="s">
        <v>973</v>
      </c>
      <c r="CX1886" s="212">
        <v>1</v>
      </c>
    </row>
    <row r="1887" spans="91:102" ht="21" customHeight="1">
      <c r="CM1887" s="210"/>
      <c r="CN1887" s="213" t="s">
        <v>5234</v>
      </c>
      <c r="CO1887" s="213" t="s">
        <v>898</v>
      </c>
      <c r="CP1887" s="213" t="s">
        <v>879</v>
      </c>
      <c r="CQ1887" s="213" t="s">
        <v>5235</v>
      </c>
      <c r="CR1887" s="213" t="s">
        <v>5235</v>
      </c>
      <c r="CS1887" s="213" t="s">
        <v>881</v>
      </c>
      <c r="CT1887" s="213" t="s">
        <v>5223</v>
      </c>
      <c r="CU1887" s="213" t="s">
        <v>883</v>
      </c>
      <c r="CV1887" s="214" t="s">
        <v>884</v>
      </c>
      <c r="CX1887" s="212">
        <v>1</v>
      </c>
    </row>
    <row r="1888" spans="91:102" ht="21" customHeight="1">
      <c r="CM1888" s="210"/>
      <c r="CN1888" s="213" t="s">
        <v>5236</v>
      </c>
      <c r="CO1888" s="213" t="s">
        <v>898</v>
      </c>
      <c r="CP1888" s="213" t="s">
        <v>879</v>
      </c>
      <c r="CQ1888" s="213" t="s">
        <v>5237</v>
      </c>
      <c r="CR1888" s="213" t="s">
        <v>5237</v>
      </c>
      <c r="CS1888" s="213" t="s">
        <v>881</v>
      </c>
      <c r="CT1888" s="213" t="s">
        <v>5223</v>
      </c>
      <c r="CU1888" s="213" t="s">
        <v>883</v>
      </c>
      <c r="CV1888" s="214" t="s">
        <v>884</v>
      </c>
      <c r="CX1888" s="212">
        <v>1</v>
      </c>
    </row>
    <row r="1889" spans="91:102" ht="21" customHeight="1">
      <c r="CM1889" s="210"/>
      <c r="CN1889" s="213" t="s">
        <v>5238</v>
      </c>
      <c r="CO1889" s="213" t="s">
        <v>898</v>
      </c>
      <c r="CP1889" s="213" t="s">
        <v>879</v>
      </c>
      <c r="CQ1889" s="213" t="s">
        <v>5239</v>
      </c>
      <c r="CR1889" s="213" t="s">
        <v>5239</v>
      </c>
      <c r="CS1889" s="213" t="s">
        <v>971</v>
      </c>
      <c r="CT1889" s="213" t="s">
        <v>972</v>
      </c>
      <c r="CU1889" s="213" t="s">
        <v>883</v>
      </c>
      <c r="CV1889" s="214" t="s">
        <v>973</v>
      </c>
      <c r="CX1889" s="212">
        <v>1</v>
      </c>
    </row>
    <row r="1890" spans="91:102" ht="21" customHeight="1">
      <c r="CM1890" s="210"/>
      <c r="CN1890" s="213" t="s">
        <v>5240</v>
      </c>
      <c r="CO1890" s="213" t="s">
        <v>898</v>
      </c>
      <c r="CP1890" s="213" t="s">
        <v>879</v>
      </c>
      <c r="CQ1890" s="213" t="s">
        <v>5241</v>
      </c>
      <c r="CR1890" s="213" t="s">
        <v>5241</v>
      </c>
      <c r="CS1890" s="213" t="s">
        <v>971</v>
      </c>
      <c r="CT1890" s="213" t="s">
        <v>972</v>
      </c>
      <c r="CU1890" s="213" t="s">
        <v>883</v>
      </c>
      <c r="CV1890" s="214" t="s">
        <v>973</v>
      </c>
      <c r="CX1890" s="212">
        <v>1</v>
      </c>
    </row>
    <row r="1891" spans="91:102" ht="21" customHeight="1">
      <c r="CM1891" s="210"/>
      <c r="CN1891" s="213" t="s">
        <v>5242</v>
      </c>
      <c r="CO1891" s="213" t="s">
        <v>898</v>
      </c>
      <c r="CP1891" s="213" t="s">
        <v>879</v>
      </c>
      <c r="CQ1891" s="213" t="s">
        <v>5243</v>
      </c>
      <c r="CR1891" s="213" t="s">
        <v>5243</v>
      </c>
      <c r="CS1891" s="213" t="s">
        <v>881</v>
      </c>
      <c r="CT1891" s="213" t="s">
        <v>5223</v>
      </c>
      <c r="CU1891" s="213" t="s">
        <v>883</v>
      </c>
      <c r="CV1891" s="214" t="s">
        <v>884</v>
      </c>
      <c r="CX1891" s="212">
        <v>1</v>
      </c>
    </row>
    <row r="1892" spans="91:102" ht="21" customHeight="1">
      <c r="CM1892" s="210"/>
      <c r="CN1892" s="213" t="s">
        <v>5244</v>
      </c>
      <c r="CO1892" s="213" t="s">
        <v>898</v>
      </c>
      <c r="CP1892" s="213" t="s">
        <v>879</v>
      </c>
      <c r="CQ1892" s="213" t="s">
        <v>5245</v>
      </c>
      <c r="CR1892" s="213" t="s">
        <v>5245</v>
      </c>
      <c r="CS1892" s="213" t="s">
        <v>881</v>
      </c>
      <c r="CT1892" s="213" t="s">
        <v>5223</v>
      </c>
      <c r="CU1892" s="213" t="s">
        <v>883</v>
      </c>
      <c r="CV1892" s="214" t="s">
        <v>884</v>
      </c>
      <c r="CX1892" s="212">
        <v>1</v>
      </c>
    </row>
    <row r="1893" spans="91:102" ht="21" customHeight="1">
      <c r="CM1893" s="210"/>
      <c r="CN1893" s="213" t="s">
        <v>5246</v>
      </c>
      <c r="CO1893" s="213" t="s">
        <v>898</v>
      </c>
      <c r="CP1893" s="213" t="s">
        <v>879</v>
      </c>
      <c r="CQ1893" s="213" t="s">
        <v>1300</v>
      </c>
      <c r="CR1893" s="213" t="s">
        <v>1300</v>
      </c>
      <c r="CS1893" s="213" t="s">
        <v>881</v>
      </c>
      <c r="CT1893" s="213" t="s">
        <v>5223</v>
      </c>
      <c r="CU1893" s="213" t="s">
        <v>883</v>
      </c>
      <c r="CV1893" s="214" t="s">
        <v>884</v>
      </c>
      <c r="CX1893" s="212">
        <v>1</v>
      </c>
    </row>
    <row r="1894" spans="91:102" ht="21" customHeight="1">
      <c r="CM1894" s="210"/>
      <c r="CN1894" s="213" t="s">
        <v>5247</v>
      </c>
      <c r="CO1894" s="213" t="s">
        <v>898</v>
      </c>
      <c r="CP1894" s="213" t="s">
        <v>879</v>
      </c>
      <c r="CQ1894" s="213" t="s">
        <v>5248</v>
      </c>
      <c r="CR1894" s="213" t="s">
        <v>5248</v>
      </c>
      <c r="CS1894" s="213" t="s">
        <v>881</v>
      </c>
      <c r="CT1894" s="213" t="s">
        <v>5223</v>
      </c>
      <c r="CU1894" s="213" t="s">
        <v>883</v>
      </c>
      <c r="CV1894" s="214" t="s">
        <v>884</v>
      </c>
      <c r="CX1894" s="212">
        <v>1</v>
      </c>
    </row>
    <row r="1895" spans="91:102" ht="21" customHeight="1">
      <c r="CM1895" s="210"/>
      <c r="CN1895" s="213" t="s">
        <v>5249</v>
      </c>
      <c r="CO1895" s="213" t="s">
        <v>898</v>
      </c>
      <c r="CP1895" s="213" t="s">
        <v>879</v>
      </c>
      <c r="CQ1895" s="213" t="s">
        <v>5250</v>
      </c>
      <c r="CR1895" s="213" t="s">
        <v>5250</v>
      </c>
      <c r="CS1895" s="213" t="s">
        <v>881</v>
      </c>
      <c r="CT1895" s="213" t="s">
        <v>5223</v>
      </c>
      <c r="CU1895" s="213" t="s">
        <v>883</v>
      </c>
      <c r="CV1895" s="214" t="s">
        <v>884</v>
      </c>
      <c r="CX1895" s="212">
        <v>1</v>
      </c>
    </row>
    <row r="1896" spans="91:102" ht="21" customHeight="1">
      <c r="CM1896" s="210"/>
      <c r="CN1896" s="213" t="s">
        <v>5251</v>
      </c>
      <c r="CO1896" s="213" t="s">
        <v>898</v>
      </c>
      <c r="CP1896" s="213" t="s">
        <v>879</v>
      </c>
      <c r="CQ1896" s="213" t="s">
        <v>5252</v>
      </c>
      <c r="CR1896" s="213" t="s">
        <v>5252</v>
      </c>
      <c r="CS1896" s="213" t="s">
        <v>881</v>
      </c>
      <c r="CT1896" s="213" t="s">
        <v>5223</v>
      </c>
      <c r="CU1896" s="213" t="s">
        <v>883</v>
      </c>
      <c r="CV1896" s="214" t="s">
        <v>884</v>
      </c>
      <c r="CX1896" s="212">
        <v>1</v>
      </c>
    </row>
    <row r="1897" spans="91:102" ht="21" customHeight="1">
      <c r="CM1897" s="210"/>
      <c r="CN1897" s="213" t="s">
        <v>5253</v>
      </c>
      <c r="CO1897" s="213" t="s">
        <v>898</v>
      </c>
      <c r="CP1897" s="213" t="s">
        <v>879</v>
      </c>
      <c r="CQ1897" s="213" t="s">
        <v>5254</v>
      </c>
      <c r="CR1897" s="213" t="s">
        <v>5254</v>
      </c>
      <c r="CS1897" s="213" t="s">
        <v>971</v>
      </c>
      <c r="CT1897" s="213" t="s">
        <v>972</v>
      </c>
      <c r="CU1897" s="213" t="s">
        <v>883</v>
      </c>
      <c r="CV1897" s="214" t="s">
        <v>973</v>
      </c>
      <c r="CX1897" s="212">
        <v>1</v>
      </c>
    </row>
    <row r="1898" spans="91:102" ht="21" customHeight="1">
      <c r="CM1898" s="210"/>
      <c r="CN1898" s="213" t="s">
        <v>5255</v>
      </c>
      <c r="CO1898" s="213" t="s">
        <v>898</v>
      </c>
      <c r="CP1898" s="213" t="s">
        <v>879</v>
      </c>
      <c r="CQ1898" s="213" t="s">
        <v>5256</v>
      </c>
      <c r="CR1898" s="213" t="s">
        <v>5256</v>
      </c>
      <c r="CS1898" s="213" t="s">
        <v>971</v>
      </c>
      <c r="CT1898" s="213" t="s">
        <v>972</v>
      </c>
      <c r="CU1898" s="213" t="s">
        <v>883</v>
      </c>
      <c r="CV1898" s="214" t="s">
        <v>973</v>
      </c>
      <c r="CX1898" s="212">
        <v>1</v>
      </c>
    </row>
    <row r="1899" spans="91:102" ht="21" customHeight="1">
      <c r="CM1899" s="210"/>
      <c r="CN1899" s="213" t="s">
        <v>5257</v>
      </c>
      <c r="CO1899" s="213" t="s">
        <v>898</v>
      </c>
      <c r="CP1899" s="213" t="s">
        <v>879</v>
      </c>
      <c r="CQ1899" s="213" t="s">
        <v>5258</v>
      </c>
      <c r="CR1899" s="213" t="s">
        <v>5258</v>
      </c>
      <c r="CS1899" s="213" t="s">
        <v>881</v>
      </c>
      <c r="CT1899" s="213" t="s">
        <v>5223</v>
      </c>
      <c r="CU1899" s="213" t="s">
        <v>883</v>
      </c>
      <c r="CV1899" s="214" t="s">
        <v>884</v>
      </c>
      <c r="CX1899" s="212">
        <v>1</v>
      </c>
    </row>
    <row r="1900" spans="91:102" ht="21" customHeight="1">
      <c r="CM1900" s="210"/>
      <c r="CN1900" s="213" t="s">
        <v>5259</v>
      </c>
      <c r="CO1900" s="213" t="s">
        <v>898</v>
      </c>
      <c r="CP1900" s="213" t="s">
        <v>879</v>
      </c>
      <c r="CQ1900" s="213" t="s">
        <v>5260</v>
      </c>
      <c r="CR1900" s="213" t="s">
        <v>5260</v>
      </c>
      <c r="CS1900" s="213" t="s">
        <v>881</v>
      </c>
      <c r="CT1900" s="213" t="s">
        <v>5223</v>
      </c>
      <c r="CU1900" s="213" t="s">
        <v>883</v>
      </c>
      <c r="CV1900" s="214" t="s">
        <v>884</v>
      </c>
      <c r="CX1900" s="212">
        <v>1</v>
      </c>
    </row>
    <row r="1901" spans="91:102" ht="21" customHeight="1">
      <c r="CM1901" s="210"/>
      <c r="CN1901" s="213" t="s">
        <v>5261</v>
      </c>
      <c r="CO1901" s="213" t="s">
        <v>898</v>
      </c>
      <c r="CP1901" s="213" t="s">
        <v>879</v>
      </c>
      <c r="CQ1901" s="213" t="s">
        <v>5024</v>
      </c>
      <c r="CR1901" s="213" t="s">
        <v>5024</v>
      </c>
      <c r="CS1901" s="213" t="s">
        <v>881</v>
      </c>
      <c r="CT1901" s="213" t="s">
        <v>5223</v>
      </c>
      <c r="CU1901" s="213" t="s">
        <v>883</v>
      </c>
      <c r="CV1901" s="214" t="s">
        <v>884</v>
      </c>
      <c r="CX1901" s="212">
        <v>1</v>
      </c>
    </row>
    <row r="1902" spans="91:102" ht="21" customHeight="1">
      <c r="CM1902" s="210"/>
      <c r="CN1902" s="213" t="s">
        <v>5262</v>
      </c>
      <c r="CO1902" s="213" t="s">
        <v>898</v>
      </c>
      <c r="CP1902" s="213" t="s">
        <v>879</v>
      </c>
      <c r="CQ1902" s="213" t="s">
        <v>5028</v>
      </c>
      <c r="CR1902" s="213" t="s">
        <v>5028</v>
      </c>
      <c r="CS1902" s="213" t="s">
        <v>881</v>
      </c>
      <c r="CT1902" s="213" t="s">
        <v>5223</v>
      </c>
      <c r="CU1902" s="213" t="s">
        <v>883</v>
      </c>
      <c r="CV1902" s="214" t="s">
        <v>884</v>
      </c>
      <c r="CX1902" s="212">
        <v>1</v>
      </c>
    </row>
    <row r="1903" spans="91:102" ht="21" customHeight="1">
      <c r="CM1903" s="210"/>
      <c r="CN1903" s="213" t="s">
        <v>5263</v>
      </c>
      <c r="CO1903" s="213" t="s">
        <v>898</v>
      </c>
      <c r="CP1903" s="213" t="s">
        <v>879</v>
      </c>
      <c r="CQ1903" s="213" t="s">
        <v>5264</v>
      </c>
      <c r="CR1903" s="213" t="s">
        <v>5264</v>
      </c>
      <c r="CS1903" s="213" t="s">
        <v>881</v>
      </c>
      <c r="CT1903" s="213" t="s">
        <v>5223</v>
      </c>
      <c r="CU1903" s="213" t="s">
        <v>883</v>
      </c>
      <c r="CV1903" s="214" t="s">
        <v>884</v>
      </c>
      <c r="CX1903" s="212">
        <v>1</v>
      </c>
    </row>
    <row r="1904" spans="91:102" ht="21" customHeight="1">
      <c r="CM1904" s="210"/>
      <c r="CN1904" s="213" t="s">
        <v>5265</v>
      </c>
      <c r="CO1904" s="213" t="s">
        <v>898</v>
      </c>
      <c r="CP1904" s="213" t="s">
        <v>879</v>
      </c>
      <c r="CQ1904" s="213" t="s">
        <v>5266</v>
      </c>
      <c r="CR1904" s="213" t="s">
        <v>5266</v>
      </c>
      <c r="CS1904" s="213" t="s">
        <v>971</v>
      </c>
      <c r="CT1904" s="213" t="s">
        <v>972</v>
      </c>
      <c r="CU1904" s="213" t="s">
        <v>883</v>
      </c>
      <c r="CV1904" s="214" t="s">
        <v>973</v>
      </c>
      <c r="CX1904" s="212">
        <v>1</v>
      </c>
    </row>
    <row r="1905" spans="91:102" ht="21" customHeight="1">
      <c r="CM1905" s="210"/>
      <c r="CN1905" s="213" t="s">
        <v>5267</v>
      </c>
      <c r="CO1905" s="213" t="s">
        <v>898</v>
      </c>
      <c r="CP1905" s="213" t="s">
        <v>879</v>
      </c>
      <c r="CQ1905" s="213" t="s">
        <v>5268</v>
      </c>
      <c r="CR1905" s="213" t="s">
        <v>5268</v>
      </c>
      <c r="CS1905" s="213" t="s">
        <v>971</v>
      </c>
      <c r="CT1905" s="213" t="s">
        <v>972</v>
      </c>
      <c r="CU1905" s="213" t="s">
        <v>883</v>
      </c>
      <c r="CV1905" s="214" t="s">
        <v>973</v>
      </c>
      <c r="CX1905" s="212">
        <v>1</v>
      </c>
    </row>
    <row r="1906" spans="91:102" ht="21" customHeight="1">
      <c r="CM1906" s="210"/>
      <c r="CN1906" s="213" t="s">
        <v>5269</v>
      </c>
      <c r="CO1906" s="213" t="s">
        <v>898</v>
      </c>
      <c r="CP1906" s="213" t="s">
        <v>879</v>
      </c>
      <c r="CQ1906" s="213" t="s">
        <v>5270</v>
      </c>
      <c r="CR1906" s="213" t="s">
        <v>5270</v>
      </c>
      <c r="CS1906" s="213" t="s">
        <v>881</v>
      </c>
      <c r="CT1906" s="213" t="s">
        <v>5223</v>
      </c>
      <c r="CU1906" s="213" t="s">
        <v>883</v>
      </c>
      <c r="CV1906" s="214" t="s">
        <v>884</v>
      </c>
      <c r="CX1906" s="212">
        <v>1</v>
      </c>
    </row>
    <row r="1907" spans="91:102" ht="21" customHeight="1">
      <c r="CM1907" s="210"/>
      <c r="CN1907" s="213" t="s">
        <v>5271</v>
      </c>
      <c r="CO1907" s="213" t="s">
        <v>898</v>
      </c>
      <c r="CP1907" s="213" t="s">
        <v>879</v>
      </c>
      <c r="CQ1907" s="213" t="s">
        <v>5272</v>
      </c>
      <c r="CR1907" s="213" t="s">
        <v>5272</v>
      </c>
      <c r="CS1907" s="213" t="s">
        <v>881</v>
      </c>
      <c r="CT1907" s="213" t="s">
        <v>5223</v>
      </c>
      <c r="CU1907" s="213" t="s">
        <v>883</v>
      </c>
      <c r="CV1907" s="214" t="s">
        <v>884</v>
      </c>
      <c r="CX1907" s="212">
        <v>1</v>
      </c>
    </row>
    <row r="1908" spans="91:102" ht="21" customHeight="1">
      <c r="CM1908" s="210"/>
      <c r="CN1908" s="213" t="s">
        <v>5273</v>
      </c>
      <c r="CO1908" s="213" t="s">
        <v>898</v>
      </c>
      <c r="CP1908" s="213" t="s">
        <v>879</v>
      </c>
      <c r="CQ1908" s="213" t="s">
        <v>5274</v>
      </c>
      <c r="CR1908" s="213" t="s">
        <v>5274</v>
      </c>
      <c r="CS1908" s="213" t="s">
        <v>881</v>
      </c>
      <c r="CT1908" s="213" t="s">
        <v>5223</v>
      </c>
      <c r="CU1908" s="213" t="s">
        <v>883</v>
      </c>
      <c r="CV1908" s="214" t="s">
        <v>884</v>
      </c>
      <c r="CX1908" s="212">
        <v>1</v>
      </c>
    </row>
    <row r="1909" spans="91:102" ht="21" customHeight="1">
      <c r="CM1909" s="210"/>
      <c r="CN1909" s="213" t="s">
        <v>5275</v>
      </c>
      <c r="CO1909" s="213" t="s">
        <v>898</v>
      </c>
      <c r="CP1909" s="213" t="s">
        <v>879</v>
      </c>
      <c r="CQ1909" s="213" t="s">
        <v>5276</v>
      </c>
      <c r="CR1909" s="213" t="s">
        <v>5276</v>
      </c>
      <c r="CS1909" s="213" t="s">
        <v>881</v>
      </c>
      <c r="CT1909" s="213" t="s">
        <v>5223</v>
      </c>
      <c r="CU1909" s="213" t="s">
        <v>883</v>
      </c>
      <c r="CV1909" s="214" t="s">
        <v>884</v>
      </c>
      <c r="CX1909" s="212">
        <v>1</v>
      </c>
    </row>
    <row r="1910" spans="91:102" ht="21" customHeight="1">
      <c r="CM1910" s="210"/>
      <c r="CN1910" s="213" t="s">
        <v>5277</v>
      </c>
      <c r="CO1910" s="213" t="s">
        <v>898</v>
      </c>
      <c r="CP1910" s="213" t="s">
        <v>879</v>
      </c>
      <c r="CQ1910" s="213" t="s">
        <v>5278</v>
      </c>
      <c r="CR1910" s="213" t="s">
        <v>5278</v>
      </c>
      <c r="CS1910" s="213" t="s">
        <v>881</v>
      </c>
      <c r="CT1910" s="213" t="s">
        <v>5223</v>
      </c>
      <c r="CU1910" s="213" t="s">
        <v>883</v>
      </c>
      <c r="CV1910" s="214" t="s">
        <v>884</v>
      </c>
      <c r="CX1910" s="212">
        <v>1</v>
      </c>
    </row>
    <row r="1911" spans="91:102" ht="21" customHeight="1">
      <c r="CM1911" s="210"/>
      <c r="CN1911" s="213" t="s">
        <v>5279</v>
      </c>
      <c r="CO1911" s="213" t="s">
        <v>898</v>
      </c>
      <c r="CP1911" s="213" t="s">
        <v>879</v>
      </c>
      <c r="CQ1911" s="213" t="s">
        <v>5280</v>
      </c>
      <c r="CR1911" s="213" t="s">
        <v>5280</v>
      </c>
      <c r="CS1911" s="213" t="s">
        <v>881</v>
      </c>
      <c r="CT1911" s="213" t="s">
        <v>5223</v>
      </c>
      <c r="CU1911" s="213" t="s">
        <v>883</v>
      </c>
      <c r="CV1911" s="214" t="s">
        <v>884</v>
      </c>
      <c r="CX1911" s="212">
        <v>1</v>
      </c>
    </row>
    <row r="1912" spans="91:102" ht="21" customHeight="1">
      <c r="CM1912" s="210"/>
      <c r="CN1912" s="213" t="s">
        <v>5281</v>
      </c>
      <c r="CO1912" s="213" t="s">
        <v>898</v>
      </c>
      <c r="CP1912" s="213" t="s">
        <v>879</v>
      </c>
      <c r="CQ1912" s="213" t="s">
        <v>5282</v>
      </c>
      <c r="CR1912" s="213" t="s">
        <v>5282</v>
      </c>
      <c r="CS1912" s="213" t="s">
        <v>881</v>
      </c>
      <c r="CT1912" s="213" t="s">
        <v>5223</v>
      </c>
      <c r="CU1912" s="213" t="s">
        <v>883</v>
      </c>
      <c r="CV1912" s="214" t="s">
        <v>884</v>
      </c>
      <c r="CX1912" s="212">
        <v>1</v>
      </c>
    </row>
    <row r="1913" spans="91:102" ht="21" customHeight="1">
      <c r="CM1913" s="210"/>
      <c r="CN1913" s="213" t="s">
        <v>5283</v>
      </c>
      <c r="CO1913" s="213" t="s">
        <v>898</v>
      </c>
      <c r="CP1913" s="213" t="s">
        <v>879</v>
      </c>
      <c r="CQ1913" s="213" t="s">
        <v>5284</v>
      </c>
      <c r="CR1913" s="213" t="s">
        <v>5285</v>
      </c>
      <c r="CS1913" s="213" t="s">
        <v>881</v>
      </c>
      <c r="CT1913" s="213" t="s">
        <v>5223</v>
      </c>
      <c r="CU1913" s="213" t="s">
        <v>883</v>
      </c>
      <c r="CV1913" s="214" t="s">
        <v>884</v>
      </c>
      <c r="CX1913" s="212">
        <v>1</v>
      </c>
    </row>
    <row r="1914" spans="91:102" ht="21" customHeight="1">
      <c r="CM1914" s="210"/>
      <c r="CN1914" s="213" t="s">
        <v>5286</v>
      </c>
      <c r="CO1914" s="213" t="s">
        <v>898</v>
      </c>
      <c r="CP1914" s="213" t="s">
        <v>879</v>
      </c>
      <c r="CQ1914" s="213" t="s">
        <v>5287</v>
      </c>
      <c r="CR1914" s="213" t="s">
        <v>5288</v>
      </c>
      <c r="CS1914" s="213" t="s">
        <v>881</v>
      </c>
      <c r="CT1914" s="213" t="s">
        <v>5223</v>
      </c>
      <c r="CU1914" s="213" t="s">
        <v>883</v>
      </c>
      <c r="CV1914" s="214" t="s">
        <v>884</v>
      </c>
      <c r="CX1914" s="212">
        <v>1</v>
      </c>
    </row>
    <row r="1915" spans="91:102" ht="21" customHeight="1">
      <c r="CM1915" s="210"/>
      <c r="CN1915" s="213" t="s">
        <v>5289</v>
      </c>
      <c r="CO1915" s="213" t="s">
        <v>898</v>
      </c>
      <c r="CP1915" s="213" t="s">
        <v>879</v>
      </c>
      <c r="CQ1915" s="213" t="s">
        <v>5290</v>
      </c>
      <c r="CR1915" s="213" t="s">
        <v>5290</v>
      </c>
      <c r="CS1915" s="213" t="s">
        <v>881</v>
      </c>
      <c r="CT1915" s="213" t="s">
        <v>5223</v>
      </c>
      <c r="CU1915" s="213" t="s">
        <v>883</v>
      </c>
      <c r="CV1915" s="214" t="s">
        <v>884</v>
      </c>
      <c r="CX1915" s="212">
        <v>1</v>
      </c>
    </row>
    <row r="1916" spans="91:102" ht="21" customHeight="1">
      <c r="CM1916" s="210"/>
      <c r="CN1916" s="213" t="s">
        <v>5291</v>
      </c>
      <c r="CO1916" s="213" t="s">
        <v>898</v>
      </c>
      <c r="CP1916" s="213" t="s">
        <v>879</v>
      </c>
      <c r="CQ1916" s="213" t="s">
        <v>5292</v>
      </c>
      <c r="CR1916" s="213" t="s">
        <v>5292</v>
      </c>
      <c r="CS1916" s="213" t="s">
        <v>881</v>
      </c>
      <c r="CT1916" s="213" t="s">
        <v>5223</v>
      </c>
      <c r="CU1916" s="213" t="s">
        <v>883</v>
      </c>
      <c r="CV1916" s="214" t="s">
        <v>884</v>
      </c>
      <c r="CX1916" s="212">
        <v>1</v>
      </c>
    </row>
    <row r="1917" spans="91:102" ht="21" customHeight="1">
      <c r="CM1917" s="210"/>
      <c r="CN1917" s="213" t="s">
        <v>5293</v>
      </c>
      <c r="CO1917" s="213" t="s">
        <v>898</v>
      </c>
      <c r="CP1917" s="213" t="s">
        <v>879</v>
      </c>
      <c r="CQ1917" s="213" t="s">
        <v>5294</v>
      </c>
      <c r="CR1917" s="213" t="s">
        <v>5294</v>
      </c>
      <c r="CS1917" s="213" t="s">
        <v>881</v>
      </c>
      <c r="CT1917" s="213" t="s">
        <v>5223</v>
      </c>
      <c r="CU1917" s="213" t="s">
        <v>883</v>
      </c>
      <c r="CV1917" s="214" t="s">
        <v>884</v>
      </c>
      <c r="CX1917" s="212">
        <v>1</v>
      </c>
    </row>
    <row r="1918" spans="91:102" ht="21" customHeight="1">
      <c r="CM1918" s="210"/>
      <c r="CN1918" s="213" t="s">
        <v>5295</v>
      </c>
      <c r="CO1918" s="213" t="s">
        <v>898</v>
      </c>
      <c r="CP1918" s="213" t="s">
        <v>879</v>
      </c>
      <c r="CQ1918" s="213" t="s">
        <v>5296</v>
      </c>
      <c r="CR1918" s="213" t="s">
        <v>5296</v>
      </c>
      <c r="CS1918" s="213" t="s">
        <v>881</v>
      </c>
      <c r="CT1918" s="213" t="s">
        <v>5223</v>
      </c>
      <c r="CU1918" s="213" t="s">
        <v>883</v>
      </c>
      <c r="CV1918" s="214" t="s">
        <v>884</v>
      </c>
      <c r="CX1918" s="212">
        <v>1</v>
      </c>
    </row>
    <row r="1919" spans="91:102" ht="21" customHeight="1">
      <c r="CM1919" s="210"/>
      <c r="CN1919" s="213" t="s">
        <v>5297</v>
      </c>
      <c r="CO1919" s="213" t="s">
        <v>898</v>
      </c>
      <c r="CP1919" s="213" t="s">
        <v>879</v>
      </c>
      <c r="CQ1919" s="213" t="s">
        <v>5298</v>
      </c>
      <c r="CR1919" s="213" t="s">
        <v>5299</v>
      </c>
      <c r="CS1919" s="213" t="s">
        <v>881</v>
      </c>
      <c r="CT1919" s="213" t="s">
        <v>5223</v>
      </c>
      <c r="CU1919" s="213" t="s">
        <v>883</v>
      </c>
      <c r="CV1919" s="214" t="s">
        <v>884</v>
      </c>
      <c r="CX1919" s="212">
        <v>1</v>
      </c>
    </row>
    <row r="1920" spans="91:102" ht="21" customHeight="1">
      <c r="CM1920" s="210"/>
      <c r="CN1920" s="213" t="s">
        <v>5300</v>
      </c>
      <c r="CO1920" s="213" t="s">
        <v>898</v>
      </c>
      <c r="CP1920" s="213" t="s">
        <v>879</v>
      </c>
      <c r="CQ1920" s="213" t="s">
        <v>5301</v>
      </c>
      <c r="CR1920" s="213" t="s">
        <v>5302</v>
      </c>
      <c r="CS1920" s="213" t="s">
        <v>881</v>
      </c>
      <c r="CT1920" s="213" t="s">
        <v>5223</v>
      </c>
      <c r="CU1920" s="213" t="s">
        <v>883</v>
      </c>
      <c r="CV1920" s="214" t="s">
        <v>884</v>
      </c>
      <c r="CX1920" s="212">
        <v>1</v>
      </c>
    </row>
    <row r="1921" spans="91:102" ht="21" customHeight="1">
      <c r="CM1921" s="210"/>
      <c r="CN1921" s="213" t="s">
        <v>5303</v>
      </c>
      <c r="CO1921" s="213" t="s">
        <v>898</v>
      </c>
      <c r="CP1921" s="213" t="s">
        <v>879</v>
      </c>
      <c r="CQ1921" s="213" t="s">
        <v>5304</v>
      </c>
      <c r="CR1921" s="213" t="s">
        <v>5305</v>
      </c>
      <c r="CS1921" s="213" t="s">
        <v>881</v>
      </c>
      <c r="CT1921" s="213" t="s">
        <v>5223</v>
      </c>
      <c r="CU1921" s="213" t="s">
        <v>883</v>
      </c>
      <c r="CV1921" s="214" t="s">
        <v>884</v>
      </c>
      <c r="CX1921" s="212">
        <v>1</v>
      </c>
    </row>
    <row r="1922" spans="91:102" ht="21" customHeight="1">
      <c r="CM1922" s="210"/>
      <c r="CN1922" s="213" t="s">
        <v>5306</v>
      </c>
      <c r="CO1922" s="213" t="s">
        <v>898</v>
      </c>
      <c r="CP1922" s="213" t="s">
        <v>879</v>
      </c>
      <c r="CQ1922" s="213" t="s">
        <v>5307</v>
      </c>
      <c r="CR1922" s="213" t="s">
        <v>5307</v>
      </c>
      <c r="CS1922" s="213" t="s">
        <v>971</v>
      </c>
      <c r="CT1922" s="213" t="s">
        <v>972</v>
      </c>
      <c r="CU1922" s="213" t="s">
        <v>883</v>
      </c>
      <c r="CV1922" s="214" t="s">
        <v>973</v>
      </c>
      <c r="CX1922" s="212">
        <v>1</v>
      </c>
    </row>
    <row r="1923" spans="91:102" ht="21" customHeight="1">
      <c r="CM1923" s="210"/>
      <c r="CN1923" s="213" t="s">
        <v>5308</v>
      </c>
      <c r="CO1923" s="213" t="s">
        <v>898</v>
      </c>
      <c r="CP1923" s="213" t="s">
        <v>879</v>
      </c>
      <c r="CQ1923" s="213" t="s">
        <v>5309</v>
      </c>
      <c r="CR1923" s="213" t="s">
        <v>5309</v>
      </c>
      <c r="CS1923" s="213" t="s">
        <v>881</v>
      </c>
      <c r="CT1923" s="213" t="s">
        <v>5223</v>
      </c>
      <c r="CU1923" s="213" t="s">
        <v>883</v>
      </c>
      <c r="CV1923" s="214" t="s">
        <v>884</v>
      </c>
      <c r="CX1923" s="212">
        <v>1</v>
      </c>
    </row>
    <row r="1924" spans="91:102" ht="21" customHeight="1">
      <c r="CM1924" s="210"/>
      <c r="CN1924" s="213" t="s">
        <v>5310</v>
      </c>
      <c r="CO1924" s="213" t="s">
        <v>898</v>
      </c>
      <c r="CP1924" s="213" t="s">
        <v>879</v>
      </c>
      <c r="CQ1924" s="213" t="s">
        <v>5311</v>
      </c>
      <c r="CR1924" s="213" t="s">
        <v>5311</v>
      </c>
      <c r="CS1924" s="213" t="s">
        <v>881</v>
      </c>
      <c r="CT1924" s="213" t="s">
        <v>5223</v>
      </c>
      <c r="CU1924" s="213" t="s">
        <v>883</v>
      </c>
      <c r="CV1924" s="214" t="s">
        <v>884</v>
      </c>
      <c r="CX1924" s="212">
        <v>1</v>
      </c>
    </row>
    <row r="1925" spans="91:102" ht="21" customHeight="1">
      <c r="CM1925" s="210"/>
      <c r="CN1925" s="213" t="s">
        <v>5312</v>
      </c>
      <c r="CO1925" s="213" t="s">
        <v>898</v>
      </c>
      <c r="CP1925" s="213" t="s">
        <v>879</v>
      </c>
      <c r="CQ1925" s="213" t="s">
        <v>5313</v>
      </c>
      <c r="CR1925" s="213" t="s">
        <v>5313</v>
      </c>
      <c r="CS1925" s="213" t="s">
        <v>971</v>
      </c>
      <c r="CT1925" s="213" t="s">
        <v>972</v>
      </c>
      <c r="CU1925" s="213" t="s">
        <v>883</v>
      </c>
      <c r="CV1925" s="214" t="s">
        <v>973</v>
      </c>
      <c r="CX1925" s="212">
        <v>1</v>
      </c>
    </row>
    <row r="1926" spans="91:102" ht="21" customHeight="1">
      <c r="CM1926" s="210"/>
      <c r="CN1926" s="213" t="s">
        <v>5314</v>
      </c>
      <c r="CO1926" s="213" t="s">
        <v>898</v>
      </c>
      <c r="CP1926" s="213" t="s">
        <v>879</v>
      </c>
      <c r="CQ1926" s="213" t="s">
        <v>5315</v>
      </c>
      <c r="CR1926" s="213" t="s">
        <v>5315</v>
      </c>
      <c r="CS1926" s="213" t="s">
        <v>971</v>
      </c>
      <c r="CT1926" s="213" t="s">
        <v>972</v>
      </c>
      <c r="CU1926" s="213" t="s">
        <v>883</v>
      </c>
      <c r="CV1926" s="214" t="s">
        <v>973</v>
      </c>
      <c r="CX1926" s="212">
        <v>1</v>
      </c>
    </row>
    <row r="1927" spans="91:102" ht="21" customHeight="1">
      <c r="CM1927" s="210"/>
      <c r="CN1927" s="213" t="s">
        <v>5316</v>
      </c>
      <c r="CO1927" s="213" t="s">
        <v>898</v>
      </c>
      <c r="CP1927" s="213" t="s">
        <v>879</v>
      </c>
      <c r="CQ1927" s="213" t="s">
        <v>5317</v>
      </c>
      <c r="CR1927" s="213" t="s">
        <v>5317</v>
      </c>
      <c r="CS1927" s="213" t="s">
        <v>881</v>
      </c>
      <c r="CT1927" s="213" t="s">
        <v>5223</v>
      </c>
      <c r="CU1927" s="213" t="s">
        <v>883</v>
      </c>
      <c r="CV1927" s="214" t="s">
        <v>884</v>
      </c>
      <c r="CX1927" s="212">
        <v>1</v>
      </c>
    </row>
    <row r="1928" spans="91:102" ht="21" customHeight="1">
      <c r="CM1928" s="210"/>
      <c r="CN1928" s="213" t="s">
        <v>5318</v>
      </c>
      <c r="CO1928" s="213" t="s">
        <v>898</v>
      </c>
      <c r="CP1928" s="213" t="s">
        <v>879</v>
      </c>
      <c r="CQ1928" s="213" t="s">
        <v>5319</v>
      </c>
      <c r="CR1928" s="213" t="s">
        <v>5319</v>
      </c>
      <c r="CS1928" s="213" t="s">
        <v>881</v>
      </c>
      <c r="CT1928" s="213" t="s">
        <v>5223</v>
      </c>
      <c r="CU1928" s="213" t="s">
        <v>883</v>
      </c>
      <c r="CV1928" s="214" t="s">
        <v>884</v>
      </c>
      <c r="CX1928" s="212">
        <v>1</v>
      </c>
    </row>
    <row r="1929" spans="91:102" ht="21" customHeight="1">
      <c r="CM1929" s="210"/>
      <c r="CN1929" s="213" t="s">
        <v>5320</v>
      </c>
      <c r="CO1929" s="213" t="s">
        <v>898</v>
      </c>
      <c r="CP1929" s="213" t="s">
        <v>879</v>
      </c>
      <c r="CQ1929" s="213" t="s">
        <v>5321</v>
      </c>
      <c r="CR1929" s="213" t="s">
        <v>5321</v>
      </c>
      <c r="CS1929" s="213" t="s">
        <v>881</v>
      </c>
      <c r="CT1929" s="213" t="s">
        <v>5223</v>
      </c>
      <c r="CU1929" s="213" t="s">
        <v>883</v>
      </c>
      <c r="CV1929" s="214" t="s">
        <v>884</v>
      </c>
      <c r="CX1929" s="212">
        <v>1</v>
      </c>
    </row>
    <row r="1930" spans="91:102" ht="21" customHeight="1">
      <c r="CM1930" s="210"/>
      <c r="CN1930" s="213" t="s">
        <v>5322</v>
      </c>
      <c r="CO1930" s="213" t="s">
        <v>898</v>
      </c>
      <c r="CP1930" s="213" t="s">
        <v>879</v>
      </c>
      <c r="CQ1930" s="213" t="s">
        <v>5323</v>
      </c>
      <c r="CR1930" s="213" t="s">
        <v>5323</v>
      </c>
      <c r="CS1930" s="213" t="s">
        <v>881</v>
      </c>
      <c r="CT1930" s="213" t="s">
        <v>5223</v>
      </c>
      <c r="CU1930" s="213" t="s">
        <v>883</v>
      </c>
      <c r="CV1930" s="214" t="s">
        <v>884</v>
      </c>
      <c r="CX1930" s="212">
        <v>1</v>
      </c>
    </row>
    <row r="1931" spans="91:102" ht="21" customHeight="1">
      <c r="CM1931" s="210"/>
      <c r="CN1931" s="213" t="s">
        <v>5324</v>
      </c>
      <c r="CO1931" s="213" t="s">
        <v>898</v>
      </c>
      <c r="CP1931" s="213" t="s">
        <v>879</v>
      </c>
      <c r="CQ1931" s="213" t="s">
        <v>5325</v>
      </c>
      <c r="CR1931" s="213" t="s">
        <v>5326</v>
      </c>
      <c r="CS1931" s="213" t="s">
        <v>881</v>
      </c>
      <c r="CT1931" s="213" t="s">
        <v>5223</v>
      </c>
      <c r="CU1931" s="213" t="s">
        <v>883</v>
      </c>
      <c r="CV1931" s="214" t="s">
        <v>884</v>
      </c>
      <c r="CX1931" s="212">
        <v>1</v>
      </c>
    </row>
    <row r="1932" spans="91:102" ht="21" customHeight="1">
      <c r="CM1932" s="210"/>
      <c r="CN1932" s="213" t="s">
        <v>5327</v>
      </c>
      <c r="CO1932" s="213" t="s">
        <v>898</v>
      </c>
      <c r="CP1932" s="213" t="s">
        <v>879</v>
      </c>
      <c r="CQ1932" s="213" t="s">
        <v>5328</v>
      </c>
      <c r="CR1932" s="213" t="s">
        <v>5329</v>
      </c>
      <c r="CS1932" s="213" t="s">
        <v>881</v>
      </c>
      <c r="CT1932" s="213" t="s">
        <v>5223</v>
      </c>
      <c r="CU1932" s="213" t="s">
        <v>883</v>
      </c>
      <c r="CV1932" s="214" t="s">
        <v>884</v>
      </c>
      <c r="CX1932" s="212">
        <v>1</v>
      </c>
    </row>
    <row r="1933" spans="91:102" ht="21" customHeight="1">
      <c r="CM1933" s="210"/>
      <c r="CN1933" s="213" t="s">
        <v>5330</v>
      </c>
      <c r="CO1933" s="213" t="s">
        <v>898</v>
      </c>
      <c r="CP1933" s="213" t="s">
        <v>879</v>
      </c>
      <c r="CQ1933" s="213" t="s">
        <v>5331</v>
      </c>
      <c r="CR1933" s="213" t="s">
        <v>5332</v>
      </c>
      <c r="CS1933" s="213" t="s">
        <v>881</v>
      </c>
      <c r="CT1933" s="213" t="s">
        <v>5223</v>
      </c>
      <c r="CU1933" s="213" t="s">
        <v>883</v>
      </c>
      <c r="CV1933" s="214" t="s">
        <v>884</v>
      </c>
      <c r="CX1933" s="212">
        <v>1</v>
      </c>
    </row>
    <row r="1934" spans="91:102" ht="21" customHeight="1">
      <c r="CM1934" s="210"/>
      <c r="CN1934" s="213" t="s">
        <v>5333</v>
      </c>
      <c r="CO1934" s="213" t="s">
        <v>898</v>
      </c>
      <c r="CP1934" s="213" t="s">
        <v>879</v>
      </c>
      <c r="CQ1934" s="213" t="s">
        <v>5334</v>
      </c>
      <c r="CR1934" s="213" t="s">
        <v>5335</v>
      </c>
      <c r="CS1934" s="213" t="s">
        <v>881</v>
      </c>
      <c r="CT1934" s="213" t="s">
        <v>5223</v>
      </c>
      <c r="CU1934" s="213" t="s">
        <v>883</v>
      </c>
      <c r="CV1934" s="214" t="s">
        <v>884</v>
      </c>
      <c r="CX1934" s="212">
        <v>1</v>
      </c>
    </row>
    <row r="1935" spans="91:102" ht="21" customHeight="1">
      <c r="CM1935" s="210"/>
      <c r="CN1935" s="213" t="s">
        <v>5336</v>
      </c>
      <c r="CO1935" s="213" t="s">
        <v>898</v>
      </c>
      <c r="CP1935" s="213" t="s">
        <v>879</v>
      </c>
      <c r="CQ1935" s="213" t="s">
        <v>5337</v>
      </c>
      <c r="CR1935" s="213" t="s">
        <v>5337</v>
      </c>
      <c r="CS1935" s="213" t="s">
        <v>971</v>
      </c>
      <c r="CT1935" s="213" t="s">
        <v>972</v>
      </c>
      <c r="CU1935" s="213" t="s">
        <v>883</v>
      </c>
      <c r="CV1935" s="214" t="s">
        <v>973</v>
      </c>
      <c r="CX1935" s="212">
        <v>1</v>
      </c>
    </row>
    <row r="1936" spans="91:102" ht="21" customHeight="1">
      <c r="CM1936" s="210"/>
      <c r="CN1936" s="213" t="s">
        <v>5338</v>
      </c>
      <c r="CO1936" s="213" t="s">
        <v>898</v>
      </c>
      <c r="CP1936" s="213" t="s">
        <v>879</v>
      </c>
      <c r="CQ1936" s="213" t="s">
        <v>5339</v>
      </c>
      <c r="CR1936" s="213" t="s">
        <v>5339</v>
      </c>
      <c r="CS1936" s="213" t="s">
        <v>971</v>
      </c>
      <c r="CT1936" s="213" t="s">
        <v>972</v>
      </c>
      <c r="CU1936" s="213" t="s">
        <v>883</v>
      </c>
      <c r="CV1936" s="214" t="s">
        <v>973</v>
      </c>
      <c r="CX1936" s="212">
        <v>1</v>
      </c>
    </row>
    <row r="1937" spans="91:102" ht="21" customHeight="1">
      <c r="CM1937" s="210"/>
      <c r="CN1937" s="213" t="s">
        <v>5340</v>
      </c>
      <c r="CO1937" s="213" t="s">
        <v>898</v>
      </c>
      <c r="CP1937" s="213" t="s">
        <v>1290</v>
      </c>
      <c r="CQ1937" s="213" t="s">
        <v>5341</v>
      </c>
      <c r="CR1937" s="213" t="s">
        <v>5341</v>
      </c>
      <c r="CS1937" s="213" t="s">
        <v>881</v>
      </c>
      <c r="CT1937" s="213" t="s">
        <v>4951</v>
      </c>
      <c r="CU1937" s="213" t="s">
        <v>883</v>
      </c>
      <c r="CV1937" s="214" t="s">
        <v>884</v>
      </c>
      <c r="CX1937" s="212">
        <v>1</v>
      </c>
    </row>
    <row r="1938" spans="91:102" ht="21" customHeight="1">
      <c r="CM1938" s="210"/>
      <c r="CN1938" s="213" t="s">
        <v>5342</v>
      </c>
      <c r="CO1938" s="213" t="s">
        <v>898</v>
      </c>
      <c r="CP1938" s="213" t="s">
        <v>1290</v>
      </c>
      <c r="CQ1938" s="213" t="s">
        <v>5343</v>
      </c>
      <c r="CR1938" s="213" t="s">
        <v>5343</v>
      </c>
      <c r="CS1938" s="213" t="s">
        <v>881</v>
      </c>
      <c r="CT1938" s="213" t="s">
        <v>4951</v>
      </c>
      <c r="CU1938" s="213" t="s">
        <v>883</v>
      </c>
      <c r="CV1938" s="214" t="s">
        <v>884</v>
      </c>
      <c r="CX1938" s="212">
        <v>1</v>
      </c>
    </row>
    <row r="1939" spans="91:102" ht="21" customHeight="1">
      <c r="CM1939" s="210"/>
      <c r="CN1939" s="213" t="s">
        <v>5344</v>
      </c>
      <c r="CO1939" s="213" t="s">
        <v>898</v>
      </c>
      <c r="CP1939" s="213" t="s">
        <v>1290</v>
      </c>
      <c r="CQ1939" s="213" t="s">
        <v>5345</v>
      </c>
      <c r="CR1939" s="213" t="s">
        <v>5346</v>
      </c>
      <c r="CS1939" s="213" t="s">
        <v>881</v>
      </c>
      <c r="CT1939" s="213" t="s">
        <v>4951</v>
      </c>
      <c r="CU1939" s="213" t="s">
        <v>883</v>
      </c>
      <c r="CV1939" s="214" t="s">
        <v>884</v>
      </c>
      <c r="CX1939" s="212">
        <v>1</v>
      </c>
    </row>
    <row r="1940" spans="91:102" ht="21" customHeight="1">
      <c r="CM1940" s="210"/>
      <c r="CN1940" s="213" t="s">
        <v>5347</v>
      </c>
      <c r="CO1940" s="213" t="s">
        <v>898</v>
      </c>
      <c r="CP1940" s="213" t="s">
        <v>1290</v>
      </c>
      <c r="CQ1940" s="213" t="s">
        <v>5348</v>
      </c>
      <c r="CR1940" s="213" t="s">
        <v>5349</v>
      </c>
      <c r="CS1940" s="213" t="s">
        <v>881</v>
      </c>
      <c r="CT1940" s="213" t="s">
        <v>4951</v>
      </c>
      <c r="CU1940" s="213" t="s">
        <v>883</v>
      </c>
      <c r="CV1940" s="214" t="s">
        <v>884</v>
      </c>
      <c r="CX1940" s="212">
        <v>1</v>
      </c>
    </row>
    <row r="1941" spans="91:102" ht="21" customHeight="1">
      <c r="CM1941" s="210"/>
      <c r="CN1941" s="213" t="s">
        <v>5350</v>
      </c>
      <c r="CO1941" s="213" t="s">
        <v>898</v>
      </c>
      <c r="CP1941" s="213" t="s">
        <v>1290</v>
      </c>
      <c r="CQ1941" s="213" t="s">
        <v>4996</v>
      </c>
      <c r="CR1941" s="213" t="s">
        <v>4997</v>
      </c>
      <c r="CS1941" s="213" t="s">
        <v>881</v>
      </c>
      <c r="CT1941" s="213" t="s">
        <v>4951</v>
      </c>
      <c r="CU1941" s="213" t="s">
        <v>883</v>
      </c>
      <c r="CV1941" s="214" t="s">
        <v>884</v>
      </c>
      <c r="CX1941" s="212">
        <v>1</v>
      </c>
    </row>
    <row r="1942" spans="91:102" ht="21" customHeight="1">
      <c r="CM1942" s="210"/>
      <c r="CN1942" s="213" t="s">
        <v>5351</v>
      </c>
      <c r="CO1942" s="213" t="s">
        <v>898</v>
      </c>
      <c r="CP1942" s="213" t="s">
        <v>1290</v>
      </c>
      <c r="CQ1942" s="213" t="s">
        <v>5352</v>
      </c>
      <c r="CR1942" s="213" t="s">
        <v>5352</v>
      </c>
      <c r="CS1942" s="213" t="s">
        <v>881</v>
      </c>
      <c r="CT1942" s="213" t="s">
        <v>4951</v>
      </c>
      <c r="CU1942" s="213" t="s">
        <v>883</v>
      </c>
      <c r="CV1942" s="214" t="s">
        <v>884</v>
      </c>
      <c r="CX1942" s="212">
        <v>1</v>
      </c>
    </row>
    <row r="1943" spans="91:102" ht="21" customHeight="1">
      <c r="CM1943" s="210"/>
      <c r="CN1943" s="213" t="s">
        <v>5353</v>
      </c>
      <c r="CO1943" s="213" t="s">
        <v>898</v>
      </c>
      <c r="CP1943" s="213" t="s">
        <v>1290</v>
      </c>
      <c r="CQ1943" s="213" t="s">
        <v>5354</v>
      </c>
      <c r="CR1943" s="213" t="s">
        <v>5354</v>
      </c>
      <c r="CS1943" s="213" t="s">
        <v>881</v>
      </c>
      <c r="CT1943" s="213" t="s">
        <v>4951</v>
      </c>
      <c r="CU1943" s="213" t="s">
        <v>883</v>
      </c>
      <c r="CV1943" s="214" t="s">
        <v>884</v>
      </c>
      <c r="CX1943" s="212">
        <v>1</v>
      </c>
    </row>
    <row r="1944" spans="91:102" ht="21" customHeight="1">
      <c r="CM1944" s="210"/>
      <c r="CN1944" s="213" t="s">
        <v>5355</v>
      </c>
      <c r="CO1944" s="213" t="s">
        <v>898</v>
      </c>
      <c r="CP1944" s="213" t="s">
        <v>1290</v>
      </c>
      <c r="CQ1944" s="213" t="s">
        <v>5356</v>
      </c>
      <c r="CR1944" s="213" t="s">
        <v>5356</v>
      </c>
      <c r="CS1944" s="213" t="s">
        <v>881</v>
      </c>
      <c r="CT1944" s="213" t="s">
        <v>4951</v>
      </c>
      <c r="CU1944" s="213" t="s">
        <v>883</v>
      </c>
      <c r="CV1944" s="214" t="s">
        <v>884</v>
      </c>
      <c r="CX1944" s="212">
        <v>1</v>
      </c>
    </row>
    <row r="1945" spans="91:102" ht="21" customHeight="1">
      <c r="CM1945" s="210"/>
      <c r="CN1945" s="213" t="s">
        <v>5357</v>
      </c>
      <c r="CO1945" s="213" t="s">
        <v>898</v>
      </c>
      <c r="CP1945" s="213" t="s">
        <v>1290</v>
      </c>
      <c r="CQ1945" s="213" t="s">
        <v>5032</v>
      </c>
      <c r="CR1945" s="213" t="s">
        <v>5032</v>
      </c>
      <c r="CS1945" s="213" t="s">
        <v>881</v>
      </c>
      <c r="CT1945" s="213" t="s">
        <v>4951</v>
      </c>
      <c r="CU1945" s="213" t="s">
        <v>883</v>
      </c>
      <c r="CV1945" s="214" t="s">
        <v>884</v>
      </c>
      <c r="CX1945" s="212">
        <v>1</v>
      </c>
    </row>
    <row r="1946" spans="91:102" ht="21" customHeight="1">
      <c r="CM1946" s="210"/>
      <c r="CN1946" s="213" t="s">
        <v>5358</v>
      </c>
      <c r="CO1946" s="213" t="s">
        <v>898</v>
      </c>
      <c r="CP1946" s="213" t="s">
        <v>1290</v>
      </c>
      <c r="CQ1946" s="213" t="s">
        <v>5359</v>
      </c>
      <c r="CR1946" s="213" t="s">
        <v>5359</v>
      </c>
      <c r="CS1946" s="213" t="s">
        <v>881</v>
      </c>
      <c r="CT1946" s="213" t="s">
        <v>4951</v>
      </c>
      <c r="CU1946" s="213" t="s">
        <v>883</v>
      </c>
      <c r="CV1946" s="214" t="s">
        <v>884</v>
      </c>
      <c r="CX1946" s="212">
        <v>1</v>
      </c>
    </row>
    <row r="1947" spans="91:102" ht="21" customHeight="1">
      <c r="CM1947" s="210"/>
      <c r="CN1947" s="213" t="s">
        <v>5360</v>
      </c>
      <c r="CO1947" s="213" t="s">
        <v>898</v>
      </c>
      <c r="CP1947" s="213" t="s">
        <v>1290</v>
      </c>
      <c r="CQ1947" s="213" t="s">
        <v>5361</v>
      </c>
      <c r="CR1947" s="213" t="s">
        <v>5361</v>
      </c>
      <c r="CS1947" s="213" t="s">
        <v>881</v>
      </c>
      <c r="CT1947" s="213" t="s">
        <v>4951</v>
      </c>
      <c r="CU1947" s="213" t="s">
        <v>883</v>
      </c>
      <c r="CV1947" s="214" t="s">
        <v>884</v>
      </c>
      <c r="CX1947" s="212">
        <v>1</v>
      </c>
    </row>
    <row r="1948" spans="91:102" ht="21" customHeight="1">
      <c r="CM1948" s="210"/>
      <c r="CN1948" s="213" t="s">
        <v>5362</v>
      </c>
      <c r="CO1948" s="213" t="s">
        <v>898</v>
      </c>
      <c r="CP1948" s="213" t="s">
        <v>1290</v>
      </c>
      <c r="CQ1948" s="213" t="s">
        <v>5363</v>
      </c>
      <c r="CR1948" s="213" t="s">
        <v>5363</v>
      </c>
      <c r="CS1948" s="213" t="s">
        <v>881</v>
      </c>
      <c r="CT1948" s="213" t="s">
        <v>4951</v>
      </c>
      <c r="CU1948" s="213" t="s">
        <v>883</v>
      </c>
      <c r="CV1948" s="214" t="s">
        <v>884</v>
      </c>
      <c r="CX1948" s="212">
        <v>1</v>
      </c>
    </row>
    <row r="1949" spans="91:102" ht="21" customHeight="1">
      <c r="CM1949" s="210"/>
      <c r="CN1949" s="213" t="s">
        <v>5364</v>
      </c>
      <c r="CO1949" s="213" t="s">
        <v>898</v>
      </c>
      <c r="CP1949" s="213" t="s">
        <v>1290</v>
      </c>
      <c r="CQ1949" s="213" t="s">
        <v>5365</v>
      </c>
      <c r="CR1949" s="213" t="s">
        <v>5366</v>
      </c>
      <c r="CS1949" s="213" t="s">
        <v>881</v>
      </c>
      <c r="CT1949" s="213" t="s">
        <v>4951</v>
      </c>
      <c r="CU1949" s="213" t="s">
        <v>883</v>
      </c>
      <c r="CV1949" s="214" t="s">
        <v>884</v>
      </c>
      <c r="CX1949" s="212">
        <v>1</v>
      </c>
    </row>
    <row r="1950" spans="91:102" ht="21" customHeight="1">
      <c r="CM1950" s="210"/>
      <c r="CN1950" s="213" t="s">
        <v>5367</v>
      </c>
      <c r="CO1950" s="213" t="s">
        <v>898</v>
      </c>
      <c r="CP1950" s="213" t="s">
        <v>1290</v>
      </c>
      <c r="CQ1950" s="213" t="s">
        <v>5368</v>
      </c>
      <c r="CR1950" s="213" t="s">
        <v>5368</v>
      </c>
      <c r="CS1950" s="213" t="s">
        <v>881</v>
      </c>
      <c r="CT1950" s="213" t="s">
        <v>4951</v>
      </c>
      <c r="CU1950" s="213" t="s">
        <v>883</v>
      </c>
      <c r="CV1950" s="214" t="s">
        <v>884</v>
      </c>
      <c r="CX1950" s="212">
        <v>1</v>
      </c>
    </row>
    <row r="1951" spans="91:102" ht="21" customHeight="1">
      <c r="CM1951" s="210"/>
      <c r="CN1951" s="213" t="s">
        <v>5369</v>
      </c>
      <c r="CO1951" s="213" t="s">
        <v>898</v>
      </c>
      <c r="CP1951" s="213" t="s">
        <v>1290</v>
      </c>
      <c r="CQ1951" s="213" t="s">
        <v>5370</v>
      </c>
      <c r="CR1951" s="213" t="s">
        <v>5370</v>
      </c>
      <c r="CS1951" s="213" t="s">
        <v>881</v>
      </c>
      <c r="CT1951" s="213" t="s">
        <v>4951</v>
      </c>
      <c r="CU1951" s="213" t="s">
        <v>883</v>
      </c>
      <c r="CV1951" s="214" t="s">
        <v>884</v>
      </c>
      <c r="CX1951" s="212">
        <v>1</v>
      </c>
    </row>
    <row r="1952" spans="91:102" ht="21" customHeight="1">
      <c r="CM1952" s="210"/>
      <c r="CN1952" s="213" t="s">
        <v>5371</v>
      </c>
      <c r="CO1952" s="213" t="s">
        <v>898</v>
      </c>
      <c r="CP1952" s="213" t="s">
        <v>1290</v>
      </c>
      <c r="CQ1952" s="213" t="s">
        <v>5372</v>
      </c>
      <c r="CR1952" s="213" t="s">
        <v>5372</v>
      </c>
      <c r="CS1952" s="213" t="s">
        <v>881</v>
      </c>
      <c r="CT1952" s="213" t="s">
        <v>4951</v>
      </c>
      <c r="CU1952" s="213" t="s">
        <v>883</v>
      </c>
      <c r="CV1952" s="214" t="s">
        <v>884</v>
      </c>
      <c r="CX1952" s="212">
        <v>1</v>
      </c>
    </row>
    <row r="1953" spans="91:102" ht="21" customHeight="1">
      <c r="CM1953" s="210"/>
      <c r="CN1953" s="213" t="s">
        <v>5373</v>
      </c>
      <c r="CO1953" s="213" t="s">
        <v>898</v>
      </c>
      <c r="CP1953" s="213" t="s">
        <v>1290</v>
      </c>
      <c r="CQ1953" s="213" t="s">
        <v>5374</v>
      </c>
      <c r="CR1953" s="213" t="s">
        <v>5374</v>
      </c>
      <c r="CS1953" s="213" t="s">
        <v>881</v>
      </c>
      <c r="CT1953" s="213" t="s">
        <v>4951</v>
      </c>
      <c r="CU1953" s="213" t="s">
        <v>883</v>
      </c>
      <c r="CV1953" s="214" t="s">
        <v>884</v>
      </c>
      <c r="CX1953" s="212">
        <v>1</v>
      </c>
    </row>
    <row r="1954" spans="91:102" ht="21" customHeight="1">
      <c r="CM1954" s="210"/>
      <c r="CN1954" s="213" t="s">
        <v>5375</v>
      </c>
      <c r="CO1954" s="213" t="s">
        <v>898</v>
      </c>
      <c r="CP1954" s="213" t="s">
        <v>1290</v>
      </c>
      <c r="CQ1954" s="213" t="s">
        <v>5376</v>
      </c>
      <c r="CR1954" s="213" t="s">
        <v>5376</v>
      </c>
      <c r="CS1954" s="213" t="s">
        <v>881</v>
      </c>
      <c r="CT1954" s="213" t="s">
        <v>4951</v>
      </c>
      <c r="CU1954" s="213" t="s">
        <v>883</v>
      </c>
      <c r="CV1954" s="214" t="s">
        <v>884</v>
      </c>
      <c r="CX1954" s="212">
        <v>1</v>
      </c>
    </row>
    <row r="1955" spans="91:102" ht="21" customHeight="1">
      <c r="CM1955" s="210"/>
      <c r="CN1955" s="213" t="s">
        <v>5377</v>
      </c>
      <c r="CO1955" s="213" t="s">
        <v>898</v>
      </c>
      <c r="CP1955" s="213" t="s">
        <v>1290</v>
      </c>
      <c r="CQ1955" s="213" t="s">
        <v>5378</v>
      </c>
      <c r="CR1955" s="213" t="s">
        <v>5378</v>
      </c>
      <c r="CS1955" s="213" t="s">
        <v>881</v>
      </c>
      <c r="CT1955" s="213" t="s">
        <v>4951</v>
      </c>
      <c r="CU1955" s="213" t="s">
        <v>883</v>
      </c>
      <c r="CV1955" s="214" t="s">
        <v>884</v>
      </c>
      <c r="CX1955" s="212">
        <v>1</v>
      </c>
    </row>
    <row r="1956" spans="91:102" ht="21" customHeight="1">
      <c r="CM1956" s="210"/>
      <c r="CN1956" s="213" t="s">
        <v>5379</v>
      </c>
      <c r="CO1956" s="213" t="s">
        <v>898</v>
      </c>
      <c r="CP1956" s="213" t="s">
        <v>1290</v>
      </c>
      <c r="CQ1956" s="213" t="s">
        <v>5380</v>
      </c>
      <c r="CR1956" s="213" t="s">
        <v>5380</v>
      </c>
      <c r="CS1956" s="213" t="s">
        <v>881</v>
      </c>
      <c r="CT1956" s="213" t="s">
        <v>4951</v>
      </c>
      <c r="CU1956" s="213" t="s">
        <v>883</v>
      </c>
      <c r="CV1956" s="214" t="s">
        <v>884</v>
      </c>
      <c r="CX1956" s="212">
        <v>1</v>
      </c>
    </row>
    <row r="1957" spans="91:102" ht="21" customHeight="1">
      <c r="CM1957" s="210"/>
      <c r="CN1957" s="213" t="s">
        <v>5381</v>
      </c>
      <c r="CO1957" s="213" t="s">
        <v>898</v>
      </c>
      <c r="CP1957" s="213" t="s">
        <v>1290</v>
      </c>
      <c r="CQ1957" s="213" t="s">
        <v>5382</v>
      </c>
      <c r="CR1957" s="213" t="s">
        <v>5382</v>
      </c>
      <c r="CS1957" s="213" t="s">
        <v>881</v>
      </c>
      <c r="CT1957" s="213" t="s">
        <v>4951</v>
      </c>
      <c r="CU1957" s="213" t="s">
        <v>883</v>
      </c>
      <c r="CV1957" s="214" t="s">
        <v>884</v>
      </c>
      <c r="CX1957" s="212">
        <v>1</v>
      </c>
    </row>
    <row r="1958" spans="91:102" ht="21" customHeight="1">
      <c r="CM1958" s="210"/>
      <c r="CN1958" s="213" t="s">
        <v>5383</v>
      </c>
      <c r="CO1958" s="213" t="s">
        <v>898</v>
      </c>
      <c r="CP1958" s="213" t="s">
        <v>1290</v>
      </c>
      <c r="CQ1958" s="213" t="s">
        <v>5384</v>
      </c>
      <c r="CR1958" s="213" t="s">
        <v>5384</v>
      </c>
      <c r="CS1958" s="213" t="s">
        <v>881</v>
      </c>
      <c r="CT1958" s="213" t="s">
        <v>4951</v>
      </c>
      <c r="CU1958" s="213" t="s">
        <v>883</v>
      </c>
      <c r="CV1958" s="214" t="s">
        <v>884</v>
      </c>
      <c r="CX1958" s="212">
        <v>1</v>
      </c>
    </row>
    <row r="1959" spans="91:102" ht="21" customHeight="1">
      <c r="CM1959" s="210"/>
      <c r="CN1959" s="213" t="s">
        <v>5385</v>
      </c>
      <c r="CO1959" s="213" t="s">
        <v>898</v>
      </c>
      <c r="CP1959" s="213" t="s">
        <v>1290</v>
      </c>
      <c r="CQ1959" s="213" t="s">
        <v>5386</v>
      </c>
      <c r="CR1959" s="213" t="s">
        <v>5386</v>
      </c>
      <c r="CS1959" s="213" t="s">
        <v>881</v>
      </c>
      <c r="CT1959" s="213" t="s">
        <v>4951</v>
      </c>
      <c r="CU1959" s="213" t="s">
        <v>883</v>
      </c>
      <c r="CV1959" s="214" t="s">
        <v>884</v>
      </c>
      <c r="CX1959" s="212">
        <v>1</v>
      </c>
    </row>
    <row r="1960" spans="91:102" ht="21" customHeight="1">
      <c r="CM1960" s="210"/>
      <c r="CN1960" s="213" t="s">
        <v>5387</v>
      </c>
      <c r="CO1960" s="213" t="s">
        <v>898</v>
      </c>
      <c r="CP1960" s="213" t="s">
        <v>1543</v>
      </c>
      <c r="CQ1960" s="213" t="s">
        <v>5388</v>
      </c>
      <c r="CR1960" s="213" t="s">
        <v>5388</v>
      </c>
      <c r="CS1960" s="213" t="s">
        <v>881</v>
      </c>
      <c r="CT1960" s="213" t="s">
        <v>4097</v>
      </c>
      <c r="CU1960" s="213" t="s">
        <v>883</v>
      </c>
      <c r="CV1960" s="214" t="s">
        <v>884</v>
      </c>
      <c r="CX1960" s="212">
        <v>1</v>
      </c>
    </row>
    <row r="1961" spans="91:102" ht="21" customHeight="1">
      <c r="CM1961" s="210"/>
      <c r="CN1961" s="213" t="s">
        <v>5389</v>
      </c>
      <c r="CO1961" s="213" t="s">
        <v>898</v>
      </c>
      <c r="CP1961" s="213" t="s">
        <v>1543</v>
      </c>
      <c r="CQ1961" s="213" t="s">
        <v>5390</v>
      </c>
      <c r="CR1961" s="213" t="s">
        <v>5391</v>
      </c>
      <c r="CS1961" s="213" t="s">
        <v>881</v>
      </c>
      <c r="CT1961" s="213" t="s">
        <v>4097</v>
      </c>
      <c r="CU1961" s="213" t="s">
        <v>883</v>
      </c>
      <c r="CV1961" s="214" t="s">
        <v>884</v>
      </c>
      <c r="CX1961" s="212">
        <v>1</v>
      </c>
    </row>
    <row r="1962" spans="91:102" ht="21" customHeight="1">
      <c r="CM1962" s="210"/>
      <c r="CN1962" s="213" t="s">
        <v>5392</v>
      </c>
      <c r="CO1962" s="213" t="s">
        <v>898</v>
      </c>
      <c r="CP1962" s="213" t="s">
        <v>1543</v>
      </c>
      <c r="CQ1962" s="213" t="s">
        <v>5393</v>
      </c>
      <c r="CR1962" s="213" t="s">
        <v>5393</v>
      </c>
      <c r="CS1962" s="213" t="s">
        <v>881</v>
      </c>
      <c r="CT1962" s="213" t="s">
        <v>4097</v>
      </c>
      <c r="CU1962" s="213" t="s">
        <v>883</v>
      </c>
      <c r="CV1962" s="214" t="s">
        <v>884</v>
      </c>
      <c r="CX1962" s="212">
        <v>1</v>
      </c>
    </row>
    <row r="1963" spans="91:102" ht="21" customHeight="1">
      <c r="CM1963" s="210"/>
      <c r="CN1963" s="213" t="s">
        <v>5394</v>
      </c>
      <c r="CO1963" s="213" t="s">
        <v>898</v>
      </c>
      <c r="CP1963" s="213" t="s">
        <v>1543</v>
      </c>
      <c r="CQ1963" s="213" t="s">
        <v>1103</v>
      </c>
      <c r="CR1963" s="213" t="s">
        <v>1103</v>
      </c>
      <c r="CS1963" s="213" t="s">
        <v>881</v>
      </c>
      <c r="CT1963" s="213" t="s">
        <v>4097</v>
      </c>
      <c r="CU1963" s="213" t="s">
        <v>883</v>
      </c>
      <c r="CV1963" s="214" t="s">
        <v>884</v>
      </c>
      <c r="CX1963" s="212">
        <v>1</v>
      </c>
    </row>
    <row r="1964" spans="91:102" ht="21" customHeight="1">
      <c r="CM1964" s="210"/>
      <c r="CN1964" s="213" t="s">
        <v>5395</v>
      </c>
      <c r="CO1964" s="213" t="s">
        <v>898</v>
      </c>
      <c r="CP1964" s="213" t="s">
        <v>1543</v>
      </c>
      <c r="CQ1964" s="213" t="s">
        <v>1105</v>
      </c>
      <c r="CR1964" s="213" t="s">
        <v>1105</v>
      </c>
      <c r="CS1964" s="213" t="s">
        <v>881</v>
      </c>
      <c r="CT1964" s="213" t="s">
        <v>4097</v>
      </c>
      <c r="CU1964" s="213" t="s">
        <v>883</v>
      </c>
      <c r="CV1964" s="214" t="s">
        <v>884</v>
      </c>
      <c r="CX1964" s="212">
        <v>1</v>
      </c>
    </row>
    <row r="1965" spans="91:102" ht="21" customHeight="1">
      <c r="CM1965" s="210"/>
      <c r="CN1965" s="213" t="s">
        <v>5396</v>
      </c>
      <c r="CO1965" s="213" t="s">
        <v>898</v>
      </c>
      <c r="CP1965" s="213" t="s">
        <v>1543</v>
      </c>
      <c r="CQ1965" s="213" t="s">
        <v>5397</v>
      </c>
      <c r="CR1965" s="213" t="s">
        <v>5397</v>
      </c>
      <c r="CS1965" s="213" t="s">
        <v>971</v>
      </c>
      <c r="CT1965" s="213" t="s">
        <v>1552</v>
      </c>
      <c r="CU1965" s="213" t="s">
        <v>883</v>
      </c>
      <c r="CV1965" s="214" t="s">
        <v>973</v>
      </c>
      <c r="CX1965" s="212">
        <v>1</v>
      </c>
    </row>
    <row r="1966" spans="91:102" ht="21" customHeight="1">
      <c r="CM1966" s="210"/>
      <c r="CN1966" s="213" t="s">
        <v>5398</v>
      </c>
      <c r="CO1966" s="213" t="s">
        <v>898</v>
      </c>
      <c r="CP1966" s="213" t="s">
        <v>1543</v>
      </c>
      <c r="CQ1966" s="213" t="s">
        <v>5399</v>
      </c>
      <c r="CR1966" s="213" t="s">
        <v>5400</v>
      </c>
      <c r="CS1966" s="213" t="s">
        <v>881</v>
      </c>
      <c r="CT1966" s="213" t="s">
        <v>4097</v>
      </c>
      <c r="CU1966" s="213" t="s">
        <v>883</v>
      </c>
      <c r="CV1966" s="214" t="s">
        <v>884</v>
      </c>
      <c r="CX1966" s="212">
        <v>1</v>
      </c>
    </row>
    <row r="1967" spans="91:102" ht="21" customHeight="1">
      <c r="CM1967" s="210"/>
      <c r="CN1967" s="213" t="s">
        <v>5401</v>
      </c>
      <c r="CO1967" s="213" t="s">
        <v>898</v>
      </c>
      <c r="CP1967" s="213" t="s">
        <v>1543</v>
      </c>
      <c r="CQ1967" s="213" t="s">
        <v>5402</v>
      </c>
      <c r="CR1967" s="213" t="s">
        <v>5402</v>
      </c>
      <c r="CS1967" s="213" t="s">
        <v>881</v>
      </c>
      <c r="CT1967" s="213" t="s">
        <v>4097</v>
      </c>
      <c r="CU1967" s="213" t="s">
        <v>883</v>
      </c>
      <c r="CV1967" s="214" t="s">
        <v>884</v>
      </c>
      <c r="CX1967" s="212">
        <v>1</v>
      </c>
    </row>
    <row r="1968" spans="91:102" ht="21" customHeight="1">
      <c r="CM1968" s="210"/>
      <c r="CN1968" s="213" t="s">
        <v>5403</v>
      </c>
      <c r="CO1968" s="213" t="s">
        <v>898</v>
      </c>
      <c r="CP1968" s="213" t="s">
        <v>1543</v>
      </c>
      <c r="CQ1968" s="213" t="s">
        <v>5404</v>
      </c>
      <c r="CR1968" s="213" t="s">
        <v>5404</v>
      </c>
      <c r="CS1968" s="213" t="s">
        <v>881</v>
      </c>
      <c r="CT1968" s="213" t="s">
        <v>4097</v>
      </c>
      <c r="CU1968" s="213" t="s">
        <v>883</v>
      </c>
      <c r="CV1968" s="214" t="s">
        <v>884</v>
      </c>
      <c r="CX1968" s="212">
        <v>1</v>
      </c>
    </row>
    <row r="1969" spans="91:102" ht="21" customHeight="1">
      <c r="CM1969" s="210"/>
      <c r="CN1969" s="213" t="s">
        <v>5405</v>
      </c>
      <c r="CO1969" s="213" t="s">
        <v>898</v>
      </c>
      <c r="CP1969" s="213" t="s">
        <v>1543</v>
      </c>
      <c r="CQ1969" s="213" t="s">
        <v>5406</v>
      </c>
      <c r="CR1969" s="213" t="s">
        <v>5406</v>
      </c>
      <c r="CS1969" s="213" t="s">
        <v>881</v>
      </c>
      <c r="CT1969" s="213" t="s">
        <v>4097</v>
      </c>
      <c r="CU1969" s="213" t="s">
        <v>883</v>
      </c>
      <c r="CV1969" s="214" t="s">
        <v>884</v>
      </c>
      <c r="CX1969" s="212">
        <v>1</v>
      </c>
    </row>
    <row r="1970" spans="91:102" ht="21" customHeight="1">
      <c r="CM1970" s="210"/>
      <c r="CN1970" s="213" t="s">
        <v>5407</v>
      </c>
      <c r="CO1970" s="213" t="s">
        <v>898</v>
      </c>
      <c r="CP1970" s="213" t="s">
        <v>1543</v>
      </c>
      <c r="CQ1970" s="213" t="s">
        <v>5408</v>
      </c>
      <c r="CR1970" s="213" t="s">
        <v>5408</v>
      </c>
      <c r="CS1970" s="213" t="s">
        <v>881</v>
      </c>
      <c r="CT1970" s="213" t="s">
        <v>4097</v>
      </c>
      <c r="CU1970" s="213" t="s">
        <v>883</v>
      </c>
      <c r="CV1970" s="214" t="s">
        <v>884</v>
      </c>
      <c r="CX1970" s="212">
        <v>1</v>
      </c>
    </row>
    <row r="1971" spans="91:102" ht="21" customHeight="1">
      <c r="CM1971" s="210"/>
      <c r="CN1971" s="213" t="s">
        <v>5409</v>
      </c>
      <c r="CO1971" s="213" t="s">
        <v>898</v>
      </c>
      <c r="CP1971" s="213" t="s">
        <v>1543</v>
      </c>
      <c r="CQ1971" s="213" t="s">
        <v>5410</v>
      </c>
      <c r="CR1971" s="213" t="s">
        <v>5410</v>
      </c>
      <c r="CS1971" s="213" t="s">
        <v>971</v>
      </c>
      <c r="CT1971" s="213" t="s">
        <v>1552</v>
      </c>
      <c r="CU1971" s="213" t="s">
        <v>883</v>
      </c>
      <c r="CV1971" s="214" t="s">
        <v>973</v>
      </c>
      <c r="CX1971" s="212">
        <v>1</v>
      </c>
    </row>
    <row r="1972" spans="91:102" ht="21" customHeight="1">
      <c r="CM1972" s="210"/>
      <c r="CN1972" s="213" t="s">
        <v>5411</v>
      </c>
      <c r="CO1972" s="213" t="s">
        <v>898</v>
      </c>
      <c r="CP1972" s="213" t="s">
        <v>1543</v>
      </c>
      <c r="CQ1972" s="213" t="s">
        <v>5412</v>
      </c>
      <c r="CR1972" s="213" t="s">
        <v>5413</v>
      </c>
      <c r="CS1972" s="213" t="s">
        <v>881</v>
      </c>
      <c r="CT1972" s="213" t="s">
        <v>4097</v>
      </c>
      <c r="CU1972" s="213" t="s">
        <v>883</v>
      </c>
      <c r="CV1972" s="214" t="s">
        <v>884</v>
      </c>
      <c r="CX1972" s="212">
        <v>1</v>
      </c>
    </row>
    <row r="1973" spans="91:102" ht="21" customHeight="1">
      <c r="CM1973" s="210"/>
      <c r="CN1973" s="213" t="s">
        <v>5414</v>
      </c>
      <c r="CO1973" s="213" t="s">
        <v>898</v>
      </c>
      <c r="CP1973" s="213" t="s">
        <v>1543</v>
      </c>
      <c r="CQ1973" s="213" t="s">
        <v>5415</v>
      </c>
      <c r="CR1973" s="213" t="s">
        <v>5415</v>
      </c>
      <c r="CS1973" s="213" t="s">
        <v>881</v>
      </c>
      <c r="CT1973" s="213" t="s">
        <v>4097</v>
      </c>
      <c r="CU1973" s="213" t="s">
        <v>883</v>
      </c>
      <c r="CV1973" s="214" t="s">
        <v>884</v>
      </c>
      <c r="CX1973" s="212">
        <v>1</v>
      </c>
    </row>
    <row r="1974" spans="91:102" ht="21" customHeight="1">
      <c r="CM1974" s="210"/>
      <c r="CN1974" s="213" t="s">
        <v>5416</v>
      </c>
      <c r="CO1974" s="213" t="s">
        <v>898</v>
      </c>
      <c r="CP1974" s="213" t="s">
        <v>1543</v>
      </c>
      <c r="CQ1974" s="213" t="s">
        <v>5150</v>
      </c>
      <c r="CR1974" s="213" t="s">
        <v>5150</v>
      </c>
      <c r="CS1974" s="213" t="s">
        <v>881</v>
      </c>
      <c r="CT1974" s="213" t="s">
        <v>4097</v>
      </c>
      <c r="CU1974" s="213" t="s">
        <v>883</v>
      </c>
      <c r="CV1974" s="214" t="s">
        <v>884</v>
      </c>
      <c r="CX1974" s="212">
        <v>1</v>
      </c>
    </row>
    <row r="1975" spans="91:102" ht="21" customHeight="1">
      <c r="CM1975" s="210"/>
      <c r="CN1975" s="213" t="s">
        <v>5417</v>
      </c>
      <c r="CO1975" s="213" t="s">
        <v>898</v>
      </c>
      <c r="CP1975" s="213" t="s">
        <v>1543</v>
      </c>
      <c r="CQ1975" s="213" t="s">
        <v>5418</v>
      </c>
      <c r="CR1975" s="213" t="s">
        <v>5418</v>
      </c>
      <c r="CS1975" s="213" t="s">
        <v>881</v>
      </c>
      <c r="CT1975" s="213" t="s">
        <v>4097</v>
      </c>
      <c r="CU1975" s="213" t="s">
        <v>883</v>
      </c>
      <c r="CV1975" s="214" t="s">
        <v>884</v>
      </c>
      <c r="CX1975" s="212">
        <v>1</v>
      </c>
    </row>
    <row r="1976" spans="91:102" ht="21" customHeight="1">
      <c r="CM1976" s="210"/>
      <c r="CN1976" s="213" t="s">
        <v>5419</v>
      </c>
      <c r="CO1976" s="213" t="s">
        <v>898</v>
      </c>
      <c r="CP1976" s="213" t="s">
        <v>1543</v>
      </c>
      <c r="CQ1976" s="213" t="s">
        <v>5420</v>
      </c>
      <c r="CR1976" s="213" t="s">
        <v>5421</v>
      </c>
      <c r="CS1976" s="213" t="s">
        <v>881</v>
      </c>
      <c r="CT1976" s="213" t="s">
        <v>4097</v>
      </c>
      <c r="CU1976" s="213" t="s">
        <v>883</v>
      </c>
      <c r="CV1976" s="214" t="s">
        <v>884</v>
      </c>
      <c r="CX1976" s="212">
        <v>1</v>
      </c>
    </row>
    <row r="1977" spans="91:102" ht="21" customHeight="1">
      <c r="CM1977" s="210"/>
      <c r="CN1977" s="213" t="s">
        <v>5422</v>
      </c>
      <c r="CO1977" s="213" t="s">
        <v>855</v>
      </c>
      <c r="CP1977" s="213" t="s">
        <v>879</v>
      </c>
      <c r="CQ1977" s="213" t="s">
        <v>5423</v>
      </c>
      <c r="CR1977" s="213" t="s">
        <v>5424</v>
      </c>
      <c r="CS1977" s="213" t="s">
        <v>881</v>
      </c>
      <c r="CT1977" s="213" t="s">
        <v>5425</v>
      </c>
      <c r="CU1977" s="213" t="s">
        <v>883</v>
      </c>
      <c r="CV1977" s="214" t="s">
        <v>884</v>
      </c>
      <c r="CX1977" s="212">
        <v>1</v>
      </c>
    </row>
    <row r="1978" spans="91:102" ht="21" customHeight="1">
      <c r="CM1978" s="210"/>
      <c r="CN1978" s="213" t="s">
        <v>5426</v>
      </c>
      <c r="CO1978" s="213" t="s">
        <v>855</v>
      </c>
      <c r="CP1978" s="213" t="s">
        <v>879</v>
      </c>
      <c r="CQ1978" s="213" t="s">
        <v>5427</v>
      </c>
      <c r="CR1978" s="213" t="s">
        <v>5428</v>
      </c>
      <c r="CS1978" s="213" t="s">
        <v>881</v>
      </c>
      <c r="CT1978" s="213" t="s">
        <v>5425</v>
      </c>
      <c r="CU1978" s="213" t="s">
        <v>883</v>
      </c>
      <c r="CV1978" s="214" t="s">
        <v>884</v>
      </c>
      <c r="CX1978" s="212">
        <v>1</v>
      </c>
    </row>
    <row r="1979" spans="91:102" ht="21" customHeight="1">
      <c r="CM1979" s="210"/>
      <c r="CN1979" s="213" t="s">
        <v>5429</v>
      </c>
      <c r="CO1979" s="213" t="s">
        <v>855</v>
      </c>
      <c r="CP1979" s="213" t="s">
        <v>879</v>
      </c>
      <c r="CQ1979" s="213" t="s">
        <v>5430</v>
      </c>
      <c r="CR1979" s="213" t="s">
        <v>5431</v>
      </c>
      <c r="CS1979" s="213" t="s">
        <v>881</v>
      </c>
      <c r="CT1979" s="213" t="s">
        <v>5425</v>
      </c>
      <c r="CU1979" s="213" t="s">
        <v>883</v>
      </c>
      <c r="CV1979" s="214" t="s">
        <v>884</v>
      </c>
      <c r="CX1979" s="212">
        <v>1</v>
      </c>
    </row>
    <row r="1980" spans="91:102" ht="21" customHeight="1">
      <c r="CM1980" s="210"/>
      <c r="CN1980" s="213" t="s">
        <v>5432</v>
      </c>
      <c r="CO1980" s="213" t="s">
        <v>855</v>
      </c>
      <c r="CP1980" s="213" t="s">
        <v>879</v>
      </c>
      <c r="CQ1980" s="213" t="s">
        <v>5433</v>
      </c>
      <c r="CR1980" s="213" t="s">
        <v>5433</v>
      </c>
      <c r="CS1980" s="213" t="s">
        <v>971</v>
      </c>
      <c r="CT1980" s="213" t="s">
        <v>972</v>
      </c>
      <c r="CU1980" s="213" t="s">
        <v>883</v>
      </c>
      <c r="CV1980" s="214" t="s">
        <v>973</v>
      </c>
      <c r="CX1980" s="212">
        <v>1</v>
      </c>
    </row>
    <row r="1981" spans="91:102" ht="21" customHeight="1">
      <c r="CM1981" s="210"/>
      <c r="CN1981" s="213" t="s">
        <v>5434</v>
      </c>
      <c r="CO1981" s="213" t="s">
        <v>855</v>
      </c>
      <c r="CP1981" s="213" t="s">
        <v>879</v>
      </c>
      <c r="CQ1981" s="213" t="s">
        <v>5435</v>
      </c>
      <c r="CR1981" s="213" t="s">
        <v>5435</v>
      </c>
      <c r="CS1981" s="213" t="s">
        <v>971</v>
      </c>
      <c r="CT1981" s="213" t="s">
        <v>972</v>
      </c>
      <c r="CU1981" s="213" t="s">
        <v>883</v>
      </c>
      <c r="CV1981" s="214" t="s">
        <v>973</v>
      </c>
      <c r="CX1981" s="212">
        <v>1</v>
      </c>
    </row>
    <row r="1982" spans="91:102" ht="21" customHeight="1">
      <c r="CM1982" s="210"/>
      <c r="CN1982" s="213" t="s">
        <v>5436</v>
      </c>
      <c r="CO1982" s="213" t="s">
        <v>855</v>
      </c>
      <c r="CP1982" s="213" t="s">
        <v>879</v>
      </c>
      <c r="CQ1982" s="213" t="s">
        <v>5437</v>
      </c>
      <c r="CR1982" s="213" t="s">
        <v>5438</v>
      </c>
      <c r="CS1982" s="213" t="s">
        <v>881</v>
      </c>
      <c r="CT1982" s="213" t="s">
        <v>5425</v>
      </c>
      <c r="CU1982" s="213" t="s">
        <v>883</v>
      </c>
      <c r="CV1982" s="214" t="s">
        <v>884</v>
      </c>
      <c r="CX1982" s="212">
        <v>1</v>
      </c>
    </row>
    <row r="1983" spans="91:102" ht="21" customHeight="1">
      <c r="CM1983" s="210"/>
      <c r="CN1983" s="213" t="s">
        <v>5439</v>
      </c>
      <c r="CO1983" s="213" t="s">
        <v>855</v>
      </c>
      <c r="CP1983" s="213" t="s">
        <v>879</v>
      </c>
      <c r="CQ1983" s="213" t="s">
        <v>5440</v>
      </c>
      <c r="CR1983" s="213" t="s">
        <v>5441</v>
      </c>
      <c r="CS1983" s="213" t="s">
        <v>881</v>
      </c>
      <c r="CT1983" s="213" t="s">
        <v>5425</v>
      </c>
      <c r="CU1983" s="213" t="s">
        <v>883</v>
      </c>
      <c r="CV1983" s="214" t="s">
        <v>884</v>
      </c>
      <c r="CX1983" s="212">
        <v>1</v>
      </c>
    </row>
    <row r="1984" spans="91:102" ht="21" customHeight="1">
      <c r="CM1984" s="210"/>
      <c r="CN1984" s="213" t="s">
        <v>5442</v>
      </c>
      <c r="CO1984" s="213" t="s">
        <v>855</v>
      </c>
      <c r="CP1984" s="213" t="s">
        <v>879</v>
      </c>
      <c r="CQ1984" s="213" t="s">
        <v>5443</v>
      </c>
      <c r="CR1984" s="213" t="s">
        <v>5444</v>
      </c>
      <c r="CS1984" s="213" t="s">
        <v>881</v>
      </c>
      <c r="CT1984" s="213" t="s">
        <v>5425</v>
      </c>
      <c r="CU1984" s="213" t="s">
        <v>883</v>
      </c>
      <c r="CV1984" s="214" t="s">
        <v>884</v>
      </c>
      <c r="CX1984" s="212">
        <v>1</v>
      </c>
    </row>
    <row r="1985" spans="91:102" ht="21" customHeight="1">
      <c r="CM1985" s="210"/>
      <c r="CN1985" s="213" t="s">
        <v>5445</v>
      </c>
      <c r="CO1985" s="213" t="s">
        <v>855</v>
      </c>
      <c r="CP1985" s="213" t="s">
        <v>879</v>
      </c>
      <c r="CQ1985" s="213" t="s">
        <v>5446</v>
      </c>
      <c r="CR1985" s="213" t="s">
        <v>5447</v>
      </c>
      <c r="CS1985" s="213" t="s">
        <v>881</v>
      </c>
      <c r="CT1985" s="213" t="s">
        <v>5425</v>
      </c>
      <c r="CU1985" s="213" t="s">
        <v>883</v>
      </c>
      <c r="CV1985" s="214" t="s">
        <v>884</v>
      </c>
      <c r="CX1985" s="212">
        <v>1</v>
      </c>
    </row>
    <row r="1986" spans="91:102" ht="21" customHeight="1">
      <c r="CM1986" s="210"/>
      <c r="CN1986" s="213" t="s">
        <v>5448</v>
      </c>
      <c r="CO1986" s="213" t="s">
        <v>855</v>
      </c>
      <c r="CP1986" s="213" t="s">
        <v>879</v>
      </c>
      <c r="CQ1986" s="213" t="s">
        <v>5449</v>
      </c>
      <c r="CR1986" s="213" t="s">
        <v>5450</v>
      </c>
      <c r="CS1986" s="213" t="s">
        <v>881</v>
      </c>
      <c r="CT1986" s="213" t="s">
        <v>5425</v>
      </c>
      <c r="CU1986" s="213" t="s">
        <v>883</v>
      </c>
      <c r="CV1986" s="214" t="s">
        <v>884</v>
      </c>
      <c r="CX1986" s="212">
        <v>1</v>
      </c>
    </row>
    <row r="1987" spans="91:102" ht="21" customHeight="1">
      <c r="CM1987" s="210"/>
      <c r="CN1987" s="213" t="s">
        <v>5451</v>
      </c>
      <c r="CO1987" s="213" t="s">
        <v>855</v>
      </c>
      <c r="CP1987" s="213" t="s">
        <v>879</v>
      </c>
      <c r="CQ1987" s="213" t="s">
        <v>5452</v>
      </c>
      <c r="CR1987" s="213" t="s">
        <v>5453</v>
      </c>
      <c r="CS1987" s="213" t="s">
        <v>881</v>
      </c>
      <c r="CT1987" s="213" t="s">
        <v>5425</v>
      </c>
      <c r="CU1987" s="213" t="s">
        <v>883</v>
      </c>
      <c r="CV1987" s="214" t="s">
        <v>884</v>
      </c>
      <c r="CX1987" s="212">
        <v>1</v>
      </c>
    </row>
    <row r="1988" spans="91:102" ht="21" customHeight="1">
      <c r="CM1988" s="210"/>
      <c r="CN1988" s="213" t="s">
        <v>5454</v>
      </c>
      <c r="CO1988" s="213" t="s">
        <v>855</v>
      </c>
      <c r="CP1988" s="213" t="s">
        <v>879</v>
      </c>
      <c r="CQ1988" s="213" t="s">
        <v>5455</v>
      </c>
      <c r="CR1988" s="213" t="s">
        <v>5456</v>
      </c>
      <c r="CS1988" s="213" t="s">
        <v>881</v>
      </c>
      <c r="CT1988" s="213" t="s">
        <v>5425</v>
      </c>
      <c r="CU1988" s="213" t="s">
        <v>883</v>
      </c>
      <c r="CV1988" s="214" t="s">
        <v>884</v>
      </c>
      <c r="CX1988" s="212">
        <v>1</v>
      </c>
    </row>
    <row r="1989" spans="91:102" ht="21" customHeight="1">
      <c r="CM1989" s="210"/>
      <c r="CN1989" s="213" t="s">
        <v>5457</v>
      </c>
      <c r="CO1989" s="213" t="s">
        <v>855</v>
      </c>
      <c r="CP1989" s="213" t="s">
        <v>879</v>
      </c>
      <c r="CQ1989" s="213" t="s">
        <v>5458</v>
      </c>
      <c r="CR1989" s="213" t="s">
        <v>5459</v>
      </c>
      <c r="CS1989" s="213" t="s">
        <v>881</v>
      </c>
      <c r="CT1989" s="213" t="s">
        <v>5425</v>
      </c>
      <c r="CU1989" s="213" t="s">
        <v>883</v>
      </c>
      <c r="CV1989" s="214" t="s">
        <v>884</v>
      </c>
      <c r="CX1989" s="212">
        <v>1</v>
      </c>
    </row>
    <row r="1990" spans="91:102" ht="21" customHeight="1">
      <c r="CM1990" s="210"/>
      <c r="CN1990" s="213" t="s">
        <v>5460</v>
      </c>
      <c r="CO1990" s="213" t="s">
        <v>855</v>
      </c>
      <c r="CP1990" s="213" t="s">
        <v>879</v>
      </c>
      <c r="CQ1990" s="213" t="s">
        <v>5461</v>
      </c>
      <c r="CR1990" s="213" t="s">
        <v>5462</v>
      </c>
      <c r="CS1990" s="213" t="s">
        <v>881</v>
      </c>
      <c r="CT1990" s="213" t="s">
        <v>5425</v>
      </c>
      <c r="CU1990" s="213" t="s">
        <v>883</v>
      </c>
      <c r="CV1990" s="214" t="s">
        <v>884</v>
      </c>
      <c r="CX1990" s="212">
        <v>1</v>
      </c>
    </row>
    <row r="1991" spans="91:102" ht="21" customHeight="1">
      <c r="CM1991" s="210"/>
      <c r="CN1991" s="213" t="s">
        <v>5463</v>
      </c>
      <c r="CO1991" s="213" t="s">
        <v>855</v>
      </c>
      <c r="CP1991" s="213" t="s">
        <v>1543</v>
      </c>
      <c r="CQ1991" s="213" t="s">
        <v>1548</v>
      </c>
      <c r="CR1991" s="213" t="s">
        <v>1548</v>
      </c>
      <c r="CS1991" s="213" t="s">
        <v>881</v>
      </c>
      <c r="CT1991" s="213" t="s">
        <v>4097</v>
      </c>
      <c r="CU1991" s="213" t="s">
        <v>883</v>
      </c>
      <c r="CV1991" s="214" t="s">
        <v>884</v>
      </c>
      <c r="CX1991" s="212">
        <v>1</v>
      </c>
    </row>
    <row r="1992" spans="91:102" ht="21" customHeight="1">
      <c r="CM1992" s="210"/>
      <c r="CN1992" s="213" t="s">
        <v>5464</v>
      </c>
      <c r="CO1992" s="213" t="s">
        <v>855</v>
      </c>
      <c r="CP1992" s="213" t="s">
        <v>1543</v>
      </c>
      <c r="CQ1992" s="213" t="s">
        <v>5465</v>
      </c>
      <c r="CR1992" s="213" t="s">
        <v>5466</v>
      </c>
      <c r="CS1992" s="213" t="s">
        <v>881</v>
      </c>
      <c r="CT1992" s="213" t="s">
        <v>4097</v>
      </c>
      <c r="CU1992" s="213" t="s">
        <v>883</v>
      </c>
      <c r="CV1992" s="214" t="s">
        <v>884</v>
      </c>
      <c r="CX1992" s="212">
        <v>1</v>
      </c>
    </row>
    <row r="1993" spans="91:102" ht="21" customHeight="1">
      <c r="CM1993" s="210"/>
      <c r="CN1993" s="213" t="s">
        <v>5467</v>
      </c>
      <c r="CO1993" s="213" t="s">
        <v>855</v>
      </c>
      <c r="CP1993" s="213" t="s">
        <v>1543</v>
      </c>
      <c r="CQ1993" s="213" t="s">
        <v>1559</v>
      </c>
      <c r="CR1993" s="213" t="s">
        <v>1559</v>
      </c>
      <c r="CS1993" s="213" t="s">
        <v>881</v>
      </c>
      <c r="CT1993" s="213" t="s">
        <v>4097</v>
      </c>
      <c r="CU1993" s="213" t="s">
        <v>883</v>
      </c>
      <c r="CV1993" s="214" t="s">
        <v>884</v>
      </c>
      <c r="CX1993" s="212">
        <v>1</v>
      </c>
    </row>
    <row r="1994" spans="91:102" ht="21" customHeight="1">
      <c r="CM1994" s="210"/>
      <c r="CN1994" s="213" t="s">
        <v>5468</v>
      </c>
      <c r="CO1994" s="213" t="s">
        <v>855</v>
      </c>
      <c r="CP1994" s="213" t="s">
        <v>1543</v>
      </c>
      <c r="CQ1994" s="213" t="s">
        <v>5469</v>
      </c>
      <c r="CR1994" s="213" t="s">
        <v>5469</v>
      </c>
      <c r="CS1994" s="213" t="s">
        <v>881</v>
      </c>
      <c r="CT1994" s="213" t="s">
        <v>4097</v>
      </c>
      <c r="CU1994" s="213" t="s">
        <v>883</v>
      </c>
      <c r="CV1994" s="214" t="s">
        <v>884</v>
      </c>
      <c r="CX1994" s="212">
        <v>1</v>
      </c>
    </row>
    <row r="1995" spans="91:102" ht="21" customHeight="1">
      <c r="CM1995" s="210"/>
      <c r="CN1995" s="213" t="s">
        <v>5470</v>
      </c>
      <c r="CO1995" s="213" t="s">
        <v>855</v>
      </c>
      <c r="CP1995" s="213" t="s">
        <v>1543</v>
      </c>
      <c r="CQ1995" s="213" t="s">
        <v>1564</v>
      </c>
      <c r="CR1995" s="213" t="s">
        <v>1564</v>
      </c>
      <c r="CS1995" s="213" t="s">
        <v>881</v>
      </c>
      <c r="CT1995" s="213" t="s">
        <v>4097</v>
      </c>
      <c r="CU1995" s="213" t="s">
        <v>883</v>
      </c>
      <c r="CV1995" s="214" t="s">
        <v>884</v>
      </c>
      <c r="CX1995" s="212">
        <v>1</v>
      </c>
    </row>
    <row r="1996" spans="91:102" ht="21" customHeight="1">
      <c r="CM1996" s="210"/>
      <c r="CN1996" s="213" t="s">
        <v>5471</v>
      </c>
      <c r="CO1996" s="213" t="s">
        <v>855</v>
      </c>
      <c r="CP1996" s="213" t="s">
        <v>1543</v>
      </c>
      <c r="CQ1996" s="213" t="s">
        <v>1568</v>
      </c>
      <c r="CR1996" s="213" t="s">
        <v>1568</v>
      </c>
      <c r="CS1996" s="213" t="s">
        <v>881</v>
      </c>
      <c r="CT1996" s="213" t="s">
        <v>4097</v>
      </c>
      <c r="CU1996" s="213" t="s">
        <v>883</v>
      </c>
      <c r="CV1996" s="214" t="s">
        <v>884</v>
      </c>
      <c r="CX1996" s="212">
        <v>1</v>
      </c>
    </row>
    <row r="1997" spans="91:102" ht="21" customHeight="1">
      <c r="CM1997" s="210"/>
      <c r="CN1997" s="213" t="s">
        <v>5472</v>
      </c>
      <c r="CO1997" s="213" t="s">
        <v>855</v>
      </c>
      <c r="CP1997" s="213" t="s">
        <v>1543</v>
      </c>
      <c r="CQ1997" s="213" t="s">
        <v>5473</v>
      </c>
      <c r="CR1997" s="213" t="s">
        <v>5473</v>
      </c>
      <c r="CS1997" s="213" t="s">
        <v>881</v>
      </c>
      <c r="CT1997" s="213" t="s">
        <v>4097</v>
      </c>
      <c r="CU1997" s="213" t="s">
        <v>883</v>
      </c>
      <c r="CV1997" s="214" t="s">
        <v>884</v>
      </c>
      <c r="CX1997" s="212">
        <v>1</v>
      </c>
    </row>
    <row r="1998" spans="91:102" ht="21" customHeight="1">
      <c r="CM1998" s="210"/>
      <c r="CN1998" s="213" t="s">
        <v>5474</v>
      </c>
      <c r="CO1998" s="213" t="s">
        <v>855</v>
      </c>
      <c r="CP1998" s="213" t="s">
        <v>1543</v>
      </c>
      <c r="CQ1998" s="213" t="s">
        <v>5475</v>
      </c>
      <c r="CR1998" s="213" t="s">
        <v>5476</v>
      </c>
      <c r="CS1998" s="213" t="s">
        <v>881</v>
      </c>
      <c r="CT1998" s="213" t="s">
        <v>4097</v>
      </c>
      <c r="CU1998" s="213" t="s">
        <v>883</v>
      </c>
      <c r="CV1998" s="214" t="s">
        <v>884</v>
      </c>
      <c r="CX1998" s="212">
        <v>1</v>
      </c>
    </row>
    <row r="1999" spans="91:102" ht="21" customHeight="1">
      <c r="CM1999" s="210"/>
      <c r="CN1999" s="213" t="s">
        <v>5477</v>
      </c>
      <c r="CO1999" s="213" t="s">
        <v>855</v>
      </c>
      <c r="CP1999" s="213" t="s">
        <v>1543</v>
      </c>
      <c r="CQ1999" s="213" t="s">
        <v>5478</v>
      </c>
      <c r="CR1999" s="213" t="s">
        <v>5478</v>
      </c>
      <c r="CS1999" s="213" t="s">
        <v>881</v>
      </c>
      <c r="CT1999" s="213" t="s">
        <v>4097</v>
      </c>
      <c r="CU1999" s="213" t="s">
        <v>883</v>
      </c>
      <c r="CV1999" s="214" t="s">
        <v>884</v>
      </c>
      <c r="CX1999" s="212">
        <v>1</v>
      </c>
    </row>
    <row r="2000" spans="91:102" ht="21" customHeight="1">
      <c r="CM2000" s="210"/>
      <c r="CN2000" s="213" t="s">
        <v>5479</v>
      </c>
      <c r="CO2000" s="213" t="s">
        <v>855</v>
      </c>
      <c r="CP2000" s="213" t="s">
        <v>1543</v>
      </c>
      <c r="CQ2000" s="213" t="s">
        <v>2165</v>
      </c>
      <c r="CR2000" s="213" t="s">
        <v>2166</v>
      </c>
      <c r="CS2000" s="213" t="s">
        <v>881</v>
      </c>
      <c r="CT2000" s="213" t="s">
        <v>4097</v>
      </c>
      <c r="CU2000" s="213" t="s">
        <v>883</v>
      </c>
      <c r="CV2000" s="214" t="s">
        <v>884</v>
      </c>
      <c r="CX2000" s="212">
        <v>1</v>
      </c>
    </row>
    <row r="2001" spans="91:102" ht="21" customHeight="1">
      <c r="CM2001" s="210"/>
      <c r="CN2001" s="213" t="s">
        <v>5480</v>
      </c>
      <c r="CO2001" s="213" t="s">
        <v>855</v>
      </c>
      <c r="CP2001" s="213" t="s">
        <v>1543</v>
      </c>
      <c r="CQ2001" s="213" t="s">
        <v>5481</v>
      </c>
      <c r="CR2001" s="213" t="s">
        <v>5481</v>
      </c>
      <c r="CS2001" s="213" t="s">
        <v>881</v>
      </c>
      <c r="CT2001" s="213" t="s">
        <v>4097</v>
      </c>
      <c r="CU2001" s="213" t="s">
        <v>883</v>
      </c>
      <c r="CV2001" s="214" t="s">
        <v>884</v>
      </c>
      <c r="CX2001" s="212">
        <v>1</v>
      </c>
    </row>
    <row r="2002" spans="91:102" ht="21" customHeight="1">
      <c r="CM2002" s="210"/>
      <c r="CN2002" s="213" t="s">
        <v>5482</v>
      </c>
      <c r="CO2002" s="213" t="s">
        <v>855</v>
      </c>
      <c r="CP2002" s="213" t="s">
        <v>1543</v>
      </c>
      <c r="CQ2002" s="213" t="s">
        <v>1601</v>
      </c>
      <c r="CR2002" s="213" t="s">
        <v>1601</v>
      </c>
      <c r="CS2002" s="213" t="s">
        <v>881</v>
      </c>
      <c r="CT2002" s="213" t="s">
        <v>4097</v>
      </c>
      <c r="CU2002" s="213" t="s">
        <v>883</v>
      </c>
      <c r="CV2002" s="214" t="s">
        <v>884</v>
      </c>
      <c r="CX2002" s="212">
        <v>1</v>
      </c>
    </row>
    <row r="2003" spans="91:102" ht="21" customHeight="1">
      <c r="CM2003" s="210"/>
      <c r="CN2003" s="213" t="s">
        <v>5483</v>
      </c>
      <c r="CO2003" s="213" t="s">
        <v>855</v>
      </c>
      <c r="CP2003" s="213" t="s">
        <v>1543</v>
      </c>
      <c r="CQ2003" s="213" t="s">
        <v>5484</v>
      </c>
      <c r="CR2003" s="213" t="s">
        <v>5485</v>
      </c>
      <c r="CS2003" s="213" t="s">
        <v>881</v>
      </c>
      <c r="CT2003" s="213" t="s">
        <v>4097</v>
      </c>
      <c r="CU2003" s="213" t="s">
        <v>883</v>
      </c>
      <c r="CV2003" s="214" t="s">
        <v>884</v>
      </c>
      <c r="CX2003" s="212">
        <v>1</v>
      </c>
    </row>
    <row r="2004" spans="91:102" ht="21" customHeight="1">
      <c r="CM2004" s="210"/>
      <c r="CN2004" s="213" t="s">
        <v>5486</v>
      </c>
      <c r="CO2004" s="213" t="s">
        <v>855</v>
      </c>
      <c r="CP2004" s="213" t="s">
        <v>1543</v>
      </c>
      <c r="CQ2004" s="213" t="s">
        <v>5487</v>
      </c>
      <c r="CR2004" s="213" t="s">
        <v>5487</v>
      </c>
      <c r="CS2004" s="213" t="s">
        <v>881</v>
      </c>
      <c r="CT2004" s="213" t="s">
        <v>4097</v>
      </c>
      <c r="CU2004" s="213" t="s">
        <v>883</v>
      </c>
      <c r="CV2004" s="214" t="s">
        <v>884</v>
      </c>
      <c r="CX2004" s="212">
        <v>1</v>
      </c>
    </row>
    <row r="2005" spans="91:102" ht="21" customHeight="1">
      <c r="CM2005" s="210"/>
      <c r="CN2005" s="213" t="s">
        <v>5488</v>
      </c>
      <c r="CO2005" s="213" t="s">
        <v>855</v>
      </c>
      <c r="CP2005" s="213" t="s">
        <v>1543</v>
      </c>
      <c r="CQ2005" s="213" t="s">
        <v>2180</v>
      </c>
      <c r="CR2005" s="213" t="s">
        <v>2180</v>
      </c>
      <c r="CS2005" s="213" t="s">
        <v>881</v>
      </c>
      <c r="CT2005" s="213" t="s">
        <v>4097</v>
      </c>
      <c r="CU2005" s="213" t="s">
        <v>883</v>
      </c>
      <c r="CV2005" s="214" t="s">
        <v>884</v>
      </c>
      <c r="CX2005" s="212">
        <v>1</v>
      </c>
    </row>
    <row r="2006" spans="91:102" ht="21" customHeight="1">
      <c r="CM2006" s="210"/>
      <c r="CN2006" s="213" t="s">
        <v>5489</v>
      </c>
      <c r="CO2006" s="213" t="s">
        <v>873</v>
      </c>
      <c r="CP2006" s="213" t="s">
        <v>879</v>
      </c>
      <c r="CQ2006" s="213" t="s">
        <v>5490</v>
      </c>
      <c r="CR2006" s="213" t="s">
        <v>5490</v>
      </c>
      <c r="CS2006" s="213" t="s">
        <v>881</v>
      </c>
      <c r="CT2006" s="213" t="s">
        <v>5491</v>
      </c>
      <c r="CU2006" s="213" t="s">
        <v>883</v>
      </c>
      <c r="CV2006" s="214" t="s">
        <v>884</v>
      </c>
      <c r="CX2006" s="212">
        <v>1</v>
      </c>
    </row>
    <row r="2007" spans="91:102" ht="21" customHeight="1">
      <c r="CM2007" s="210"/>
      <c r="CN2007" s="213" t="s">
        <v>5492</v>
      </c>
      <c r="CO2007" s="213" t="s">
        <v>873</v>
      </c>
      <c r="CP2007" s="213" t="s">
        <v>879</v>
      </c>
      <c r="CQ2007" s="213" t="s">
        <v>5493</v>
      </c>
      <c r="CR2007" s="213" t="s">
        <v>5493</v>
      </c>
      <c r="CS2007" s="213" t="s">
        <v>881</v>
      </c>
      <c r="CT2007" s="213" t="s">
        <v>5491</v>
      </c>
      <c r="CU2007" s="213" t="s">
        <v>883</v>
      </c>
      <c r="CV2007" s="214" t="s">
        <v>884</v>
      </c>
      <c r="CX2007" s="212">
        <v>1</v>
      </c>
    </row>
    <row r="2008" spans="91:102" ht="21" customHeight="1">
      <c r="CM2008" s="210"/>
      <c r="CN2008" s="213" t="s">
        <v>5494</v>
      </c>
      <c r="CO2008" s="213" t="s">
        <v>873</v>
      </c>
      <c r="CP2008" s="213" t="s">
        <v>879</v>
      </c>
      <c r="CQ2008" s="213" t="s">
        <v>5495</v>
      </c>
      <c r="CR2008" s="213" t="s">
        <v>5495</v>
      </c>
      <c r="CS2008" s="213" t="s">
        <v>881</v>
      </c>
      <c r="CT2008" s="213" t="s">
        <v>5491</v>
      </c>
      <c r="CU2008" s="213" t="s">
        <v>883</v>
      </c>
      <c r="CV2008" s="214" t="s">
        <v>884</v>
      </c>
      <c r="CX2008" s="212">
        <v>1</v>
      </c>
    </row>
    <row r="2009" spans="91:102" ht="21" customHeight="1">
      <c r="CM2009" s="210"/>
      <c r="CN2009" s="213" t="s">
        <v>5496</v>
      </c>
      <c r="CO2009" s="213" t="s">
        <v>873</v>
      </c>
      <c r="CP2009" s="213" t="s">
        <v>879</v>
      </c>
      <c r="CQ2009" s="213" t="s">
        <v>5497</v>
      </c>
      <c r="CR2009" s="213" t="s">
        <v>5497</v>
      </c>
      <c r="CS2009" s="213" t="s">
        <v>881</v>
      </c>
      <c r="CT2009" s="213" t="s">
        <v>5491</v>
      </c>
      <c r="CU2009" s="213" t="s">
        <v>883</v>
      </c>
      <c r="CV2009" s="214" t="s">
        <v>884</v>
      </c>
      <c r="CX2009" s="212">
        <v>1</v>
      </c>
    </row>
    <row r="2010" spans="91:102" ht="21" customHeight="1">
      <c r="CM2010" s="210"/>
      <c r="CN2010" s="213" t="s">
        <v>5498</v>
      </c>
      <c r="CO2010" s="213" t="s">
        <v>873</v>
      </c>
      <c r="CP2010" s="213" t="s">
        <v>879</v>
      </c>
      <c r="CQ2010" s="213" t="s">
        <v>5499</v>
      </c>
      <c r="CR2010" s="213" t="s">
        <v>5499</v>
      </c>
      <c r="CS2010" s="213" t="s">
        <v>881</v>
      </c>
      <c r="CT2010" s="213" t="s">
        <v>5491</v>
      </c>
      <c r="CU2010" s="213" t="s">
        <v>883</v>
      </c>
      <c r="CV2010" s="214" t="s">
        <v>884</v>
      </c>
      <c r="CX2010" s="212">
        <v>1</v>
      </c>
    </row>
    <row r="2011" spans="91:102" ht="21" customHeight="1">
      <c r="CM2011" s="210"/>
      <c r="CN2011" s="213" t="s">
        <v>5500</v>
      </c>
      <c r="CO2011" s="213" t="s">
        <v>873</v>
      </c>
      <c r="CP2011" s="213" t="s">
        <v>879</v>
      </c>
      <c r="CQ2011" s="213" t="s">
        <v>5501</v>
      </c>
      <c r="CR2011" s="213" t="s">
        <v>5502</v>
      </c>
      <c r="CS2011" s="213" t="s">
        <v>881</v>
      </c>
      <c r="CT2011" s="213" t="s">
        <v>5491</v>
      </c>
      <c r="CU2011" s="213" t="s">
        <v>883</v>
      </c>
      <c r="CV2011" s="214" t="s">
        <v>884</v>
      </c>
      <c r="CX2011" s="212">
        <v>1</v>
      </c>
    </row>
    <row r="2012" spans="91:102" ht="21" customHeight="1">
      <c r="CM2012" s="210"/>
      <c r="CN2012" s="213" t="s">
        <v>5503</v>
      </c>
      <c r="CO2012" s="213" t="s">
        <v>873</v>
      </c>
      <c r="CP2012" s="213" t="s">
        <v>879</v>
      </c>
      <c r="CQ2012" s="213" t="s">
        <v>5504</v>
      </c>
      <c r="CR2012" s="213" t="s">
        <v>5504</v>
      </c>
      <c r="CS2012" s="213" t="s">
        <v>881</v>
      </c>
      <c r="CT2012" s="213" t="s">
        <v>5491</v>
      </c>
      <c r="CU2012" s="213" t="s">
        <v>883</v>
      </c>
      <c r="CV2012" s="214" t="s">
        <v>884</v>
      </c>
      <c r="CX2012" s="212">
        <v>1</v>
      </c>
    </row>
    <row r="2013" spans="91:102" ht="21" customHeight="1">
      <c r="CM2013" s="210"/>
      <c r="CN2013" s="213" t="s">
        <v>5505</v>
      </c>
      <c r="CO2013" s="213" t="s">
        <v>873</v>
      </c>
      <c r="CP2013" s="213" t="s">
        <v>879</v>
      </c>
      <c r="CQ2013" s="213" t="s">
        <v>5506</v>
      </c>
      <c r="CR2013" s="213" t="s">
        <v>5507</v>
      </c>
      <c r="CS2013" s="213" t="s">
        <v>881</v>
      </c>
      <c r="CT2013" s="213" t="s">
        <v>5491</v>
      </c>
      <c r="CU2013" s="213" t="s">
        <v>883</v>
      </c>
      <c r="CV2013" s="214" t="s">
        <v>884</v>
      </c>
      <c r="CX2013" s="212">
        <v>1</v>
      </c>
    </row>
    <row r="2014" spans="91:102" ht="21" customHeight="1">
      <c r="CM2014" s="210"/>
      <c r="CN2014" s="213" t="s">
        <v>5508</v>
      </c>
      <c r="CO2014" s="213" t="s">
        <v>873</v>
      </c>
      <c r="CP2014" s="213" t="s">
        <v>879</v>
      </c>
      <c r="CQ2014" s="213" t="s">
        <v>5509</v>
      </c>
      <c r="CR2014" s="213" t="s">
        <v>5509</v>
      </c>
      <c r="CS2014" s="213" t="s">
        <v>881</v>
      </c>
      <c r="CT2014" s="213" t="s">
        <v>5491</v>
      </c>
      <c r="CU2014" s="213" t="s">
        <v>883</v>
      </c>
      <c r="CV2014" s="214" t="s">
        <v>884</v>
      </c>
      <c r="CX2014" s="212">
        <v>1</v>
      </c>
    </row>
    <row r="2015" spans="91:102" ht="21" customHeight="1">
      <c r="CM2015" s="210"/>
      <c r="CN2015" s="213" t="s">
        <v>5510</v>
      </c>
      <c r="CO2015" s="213" t="s">
        <v>873</v>
      </c>
      <c r="CP2015" s="213" t="s">
        <v>879</v>
      </c>
      <c r="CQ2015" s="213" t="s">
        <v>5511</v>
      </c>
      <c r="CR2015" s="213" t="s">
        <v>5511</v>
      </c>
      <c r="CS2015" s="213" t="s">
        <v>881</v>
      </c>
      <c r="CT2015" s="213" t="s">
        <v>5491</v>
      </c>
      <c r="CU2015" s="213" t="s">
        <v>883</v>
      </c>
      <c r="CV2015" s="214" t="s">
        <v>884</v>
      </c>
      <c r="CX2015" s="212">
        <v>1</v>
      </c>
    </row>
    <row r="2016" spans="91:102" ht="21" customHeight="1">
      <c r="CM2016" s="210"/>
      <c r="CN2016" s="213" t="s">
        <v>5512</v>
      </c>
      <c r="CO2016" s="213" t="s">
        <v>873</v>
      </c>
      <c r="CP2016" s="213" t="s">
        <v>879</v>
      </c>
      <c r="CQ2016" s="213" t="s">
        <v>5513</v>
      </c>
      <c r="CR2016" s="213" t="s">
        <v>5513</v>
      </c>
      <c r="CS2016" s="213" t="s">
        <v>881</v>
      </c>
      <c r="CT2016" s="213" t="s">
        <v>5491</v>
      </c>
      <c r="CU2016" s="213" t="s">
        <v>883</v>
      </c>
      <c r="CV2016" s="214" t="s">
        <v>884</v>
      </c>
      <c r="CX2016" s="212">
        <v>1</v>
      </c>
    </row>
    <row r="2017" spans="91:102" ht="21" customHeight="1">
      <c r="CM2017" s="210"/>
      <c r="CN2017" s="213" t="s">
        <v>5514</v>
      </c>
      <c r="CO2017" s="213" t="s">
        <v>873</v>
      </c>
      <c r="CP2017" s="213" t="s">
        <v>879</v>
      </c>
      <c r="CQ2017" s="213" t="s">
        <v>5515</v>
      </c>
      <c r="CR2017" s="213" t="s">
        <v>5515</v>
      </c>
      <c r="CS2017" s="213" t="s">
        <v>881</v>
      </c>
      <c r="CT2017" s="213" t="s">
        <v>5491</v>
      </c>
      <c r="CU2017" s="213" t="s">
        <v>883</v>
      </c>
      <c r="CV2017" s="214" t="s">
        <v>884</v>
      </c>
      <c r="CX2017" s="212">
        <v>1</v>
      </c>
    </row>
    <row r="2018" spans="91:102" ht="21" customHeight="1">
      <c r="CM2018" s="210"/>
      <c r="CN2018" s="213" t="s">
        <v>5516</v>
      </c>
      <c r="CO2018" s="213" t="s">
        <v>873</v>
      </c>
      <c r="CP2018" s="213" t="s">
        <v>879</v>
      </c>
      <c r="CQ2018" s="213" t="s">
        <v>5517</v>
      </c>
      <c r="CR2018" s="213" t="s">
        <v>5517</v>
      </c>
      <c r="CS2018" s="213" t="s">
        <v>971</v>
      </c>
      <c r="CT2018" s="213" t="s">
        <v>972</v>
      </c>
      <c r="CU2018" s="213" t="s">
        <v>883</v>
      </c>
      <c r="CV2018" s="214" t="s">
        <v>973</v>
      </c>
      <c r="CX2018" s="212">
        <v>1</v>
      </c>
    </row>
    <row r="2019" spans="91:102" ht="21" customHeight="1">
      <c r="CM2019" s="210"/>
      <c r="CN2019" s="213" t="s">
        <v>5518</v>
      </c>
      <c r="CO2019" s="213" t="s">
        <v>873</v>
      </c>
      <c r="CP2019" s="213" t="s">
        <v>879</v>
      </c>
      <c r="CQ2019" s="213" t="s">
        <v>5519</v>
      </c>
      <c r="CR2019" s="213" t="s">
        <v>5519</v>
      </c>
      <c r="CS2019" s="213" t="s">
        <v>971</v>
      </c>
      <c r="CT2019" s="213" t="s">
        <v>972</v>
      </c>
      <c r="CU2019" s="213" t="s">
        <v>883</v>
      </c>
      <c r="CV2019" s="214" t="s">
        <v>973</v>
      </c>
      <c r="CX2019" s="212">
        <v>1</v>
      </c>
    </row>
    <row r="2020" spans="91:102" ht="21" customHeight="1">
      <c r="CM2020" s="210"/>
      <c r="CN2020" s="213" t="s">
        <v>5520</v>
      </c>
      <c r="CO2020" s="213" t="s">
        <v>873</v>
      </c>
      <c r="CP2020" s="213" t="s">
        <v>879</v>
      </c>
      <c r="CQ2020" s="213" t="s">
        <v>5521</v>
      </c>
      <c r="CR2020" s="213" t="s">
        <v>5521</v>
      </c>
      <c r="CS2020" s="213" t="s">
        <v>971</v>
      </c>
      <c r="CT2020" s="213" t="s">
        <v>972</v>
      </c>
      <c r="CU2020" s="213" t="s">
        <v>883</v>
      </c>
      <c r="CV2020" s="214" t="s">
        <v>973</v>
      </c>
      <c r="CX2020" s="212">
        <v>1</v>
      </c>
    </row>
    <row r="2021" spans="91:102" ht="21" customHeight="1">
      <c r="CM2021" s="210"/>
      <c r="CN2021" s="213" t="s">
        <v>5522</v>
      </c>
      <c r="CO2021" s="213" t="s">
        <v>873</v>
      </c>
      <c r="CP2021" s="213" t="s">
        <v>879</v>
      </c>
      <c r="CQ2021" s="213" t="s">
        <v>5523</v>
      </c>
      <c r="CR2021" s="213" t="s">
        <v>5523</v>
      </c>
      <c r="CS2021" s="213" t="s">
        <v>881</v>
      </c>
      <c r="CT2021" s="213" t="s">
        <v>5491</v>
      </c>
      <c r="CU2021" s="213" t="s">
        <v>883</v>
      </c>
      <c r="CV2021" s="214" t="s">
        <v>884</v>
      </c>
      <c r="CX2021" s="212">
        <v>1</v>
      </c>
    </row>
    <row r="2022" spans="91:102" ht="21" customHeight="1">
      <c r="CM2022" s="210"/>
      <c r="CN2022" s="213" t="s">
        <v>5524</v>
      </c>
      <c r="CO2022" s="213" t="s">
        <v>873</v>
      </c>
      <c r="CP2022" s="213" t="s">
        <v>879</v>
      </c>
      <c r="CQ2022" s="213" t="s">
        <v>5525</v>
      </c>
      <c r="CR2022" s="213" t="s">
        <v>5525</v>
      </c>
      <c r="CS2022" s="213" t="s">
        <v>881</v>
      </c>
      <c r="CT2022" s="213" t="s">
        <v>5491</v>
      </c>
      <c r="CU2022" s="213" t="s">
        <v>883</v>
      </c>
      <c r="CV2022" s="214" t="s">
        <v>884</v>
      </c>
      <c r="CX2022" s="212">
        <v>1</v>
      </c>
    </row>
    <row r="2023" spans="91:102" ht="21" customHeight="1">
      <c r="CM2023" s="210"/>
      <c r="CN2023" s="213" t="s">
        <v>5526</v>
      </c>
      <c r="CO2023" s="213" t="s">
        <v>873</v>
      </c>
      <c r="CP2023" s="213" t="s">
        <v>879</v>
      </c>
      <c r="CQ2023" s="213" t="s">
        <v>5527</v>
      </c>
      <c r="CR2023" s="213" t="s">
        <v>5528</v>
      </c>
      <c r="CS2023" s="213" t="s">
        <v>881</v>
      </c>
      <c r="CT2023" s="213" t="s">
        <v>5491</v>
      </c>
      <c r="CU2023" s="213" t="s">
        <v>883</v>
      </c>
      <c r="CV2023" s="214" t="s">
        <v>884</v>
      </c>
      <c r="CX2023" s="212">
        <v>1</v>
      </c>
    </row>
    <row r="2024" spans="91:102" ht="21" customHeight="1">
      <c r="CM2024" s="210"/>
      <c r="CN2024" s="213" t="s">
        <v>5529</v>
      </c>
      <c r="CO2024" s="213" t="s">
        <v>873</v>
      </c>
      <c r="CP2024" s="213" t="s">
        <v>1543</v>
      </c>
      <c r="CQ2024" s="213" t="s">
        <v>1559</v>
      </c>
      <c r="CR2024" s="213" t="s">
        <v>1559</v>
      </c>
      <c r="CS2024" s="213" t="s">
        <v>881</v>
      </c>
      <c r="CT2024" s="213" t="s">
        <v>4097</v>
      </c>
      <c r="CU2024" s="213" t="s">
        <v>883</v>
      </c>
      <c r="CV2024" s="214" t="s">
        <v>884</v>
      </c>
      <c r="CX2024" s="212">
        <v>1</v>
      </c>
    </row>
    <row r="2025" spans="91:102" ht="21" customHeight="1">
      <c r="CM2025" s="210"/>
      <c r="CN2025" s="213" t="s">
        <v>5530</v>
      </c>
      <c r="CO2025" s="213" t="s">
        <v>873</v>
      </c>
      <c r="CP2025" s="213" t="s">
        <v>1543</v>
      </c>
      <c r="CQ2025" s="213" t="s">
        <v>5531</v>
      </c>
      <c r="CR2025" s="213" t="s">
        <v>5531</v>
      </c>
      <c r="CS2025" s="213" t="s">
        <v>881</v>
      </c>
      <c r="CT2025" s="213" t="s">
        <v>4097</v>
      </c>
      <c r="CU2025" s="213" t="s">
        <v>883</v>
      </c>
      <c r="CV2025" s="214" t="s">
        <v>884</v>
      </c>
      <c r="CX2025" s="212">
        <v>1</v>
      </c>
    </row>
    <row r="2026" spans="91:102" ht="21" customHeight="1">
      <c r="CM2026" s="210"/>
      <c r="CN2026" s="213" t="s">
        <v>5532</v>
      </c>
      <c r="CO2026" s="213" t="s">
        <v>873</v>
      </c>
      <c r="CP2026" s="213" t="s">
        <v>1543</v>
      </c>
      <c r="CQ2026" s="213" t="s">
        <v>5533</v>
      </c>
      <c r="CR2026" s="213" t="s">
        <v>5533</v>
      </c>
      <c r="CS2026" s="213" t="s">
        <v>881</v>
      </c>
      <c r="CT2026" s="213" t="s">
        <v>4097</v>
      </c>
      <c r="CU2026" s="213" t="s">
        <v>883</v>
      </c>
      <c r="CV2026" s="214" t="s">
        <v>884</v>
      </c>
      <c r="CX2026" s="212">
        <v>1</v>
      </c>
    </row>
    <row r="2027" spans="91:102" ht="21" customHeight="1">
      <c r="CM2027" s="210"/>
      <c r="CN2027" s="213" t="s">
        <v>5534</v>
      </c>
      <c r="CO2027" s="213" t="s">
        <v>873</v>
      </c>
      <c r="CP2027" s="213" t="s">
        <v>1543</v>
      </c>
      <c r="CQ2027" s="213" t="s">
        <v>2069</v>
      </c>
      <c r="CR2027" s="213" t="s">
        <v>2069</v>
      </c>
      <c r="CS2027" s="213" t="s">
        <v>881</v>
      </c>
      <c r="CT2027" s="213" t="s">
        <v>4097</v>
      </c>
      <c r="CU2027" s="213" t="s">
        <v>883</v>
      </c>
      <c r="CV2027" s="214" t="s">
        <v>884</v>
      </c>
      <c r="CX2027" s="212">
        <v>1</v>
      </c>
    </row>
    <row r="2028" spans="91:102" ht="21" customHeight="1">
      <c r="CM2028" s="210"/>
      <c r="CN2028" s="213" t="s">
        <v>5535</v>
      </c>
      <c r="CO2028" s="213" t="s">
        <v>873</v>
      </c>
      <c r="CP2028" s="213" t="s">
        <v>1543</v>
      </c>
      <c r="CQ2028" s="213" t="s">
        <v>2165</v>
      </c>
      <c r="CR2028" s="213" t="s">
        <v>2166</v>
      </c>
      <c r="CS2028" s="213" t="s">
        <v>881</v>
      </c>
      <c r="CT2028" s="213" t="s">
        <v>4097</v>
      </c>
      <c r="CU2028" s="213" t="s">
        <v>883</v>
      </c>
      <c r="CV2028" s="214" t="s">
        <v>884</v>
      </c>
      <c r="CX2028" s="212">
        <v>1</v>
      </c>
    </row>
    <row r="2029" spans="91:102" ht="21" customHeight="1">
      <c r="CM2029" s="210"/>
      <c r="CN2029" s="213" t="s">
        <v>5536</v>
      </c>
      <c r="CO2029" s="213" t="s">
        <v>873</v>
      </c>
      <c r="CP2029" s="213" t="s">
        <v>1543</v>
      </c>
      <c r="CQ2029" s="213" t="s">
        <v>5537</v>
      </c>
      <c r="CR2029" s="213" t="s">
        <v>5537</v>
      </c>
      <c r="CS2029" s="213" t="s">
        <v>881</v>
      </c>
      <c r="CT2029" s="213" t="s">
        <v>4097</v>
      </c>
      <c r="CU2029" s="213" t="s">
        <v>883</v>
      </c>
      <c r="CV2029" s="214" t="s">
        <v>884</v>
      </c>
      <c r="CX2029" s="212">
        <v>1</v>
      </c>
    </row>
    <row r="2030" spans="91:102" ht="21" customHeight="1">
      <c r="CM2030" s="210"/>
      <c r="CN2030" s="213" t="s">
        <v>5538</v>
      </c>
      <c r="CO2030" s="213" t="s">
        <v>873</v>
      </c>
      <c r="CP2030" s="213" t="s">
        <v>1543</v>
      </c>
      <c r="CQ2030" s="213" t="s">
        <v>5539</v>
      </c>
      <c r="CR2030" s="213" t="s">
        <v>5539</v>
      </c>
      <c r="CS2030" s="213" t="s">
        <v>881</v>
      </c>
      <c r="CT2030" s="213" t="s">
        <v>4097</v>
      </c>
      <c r="CU2030" s="213" t="s">
        <v>883</v>
      </c>
      <c r="CV2030" s="214" t="s">
        <v>884</v>
      </c>
      <c r="CX2030" s="212">
        <v>1</v>
      </c>
    </row>
    <row r="2031" spans="91:102" ht="21" customHeight="1">
      <c r="CM2031" s="210"/>
      <c r="CN2031" s="213" t="s">
        <v>5540</v>
      </c>
      <c r="CO2031" s="213" t="s">
        <v>873</v>
      </c>
      <c r="CP2031" s="213" t="s">
        <v>1543</v>
      </c>
      <c r="CQ2031" s="213" t="s">
        <v>5541</v>
      </c>
      <c r="CR2031" s="213" t="s">
        <v>5541</v>
      </c>
      <c r="CS2031" s="213" t="s">
        <v>881</v>
      </c>
      <c r="CT2031" s="213" t="s">
        <v>4097</v>
      </c>
      <c r="CU2031" s="213" t="s">
        <v>883</v>
      </c>
      <c r="CV2031" s="214" t="s">
        <v>884</v>
      </c>
      <c r="CX2031" s="212">
        <v>1</v>
      </c>
    </row>
    <row r="2032" spans="91:102" ht="21" customHeight="1">
      <c r="CM2032" s="210"/>
      <c r="CN2032" s="213" t="s">
        <v>5542</v>
      </c>
      <c r="CO2032" s="213" t="s">
        <v>873</v>
      </c>
      <c r="CP2032" s="213" t="s">
        <v>1543</v>
      </c>
      <c r="CQ2032" s="213" t="s">
        <v>2119</v>
      </c>
      <c r="CR2032" s="213" t="s">
        <v>2119</v>
      </c>
      <c r="CS2032" s="213" t="s">
        <v>881</v>
      </c>
      <c r="CT2032" s="213" t="s">
        <v>4097</v>
      </c>
      <c r="CU2032" s="213" t="s">
        <v>883</v>
      </c>
      <c r="CV2032" s="214" t="s">
        <v>884</v>
      </c>
      <c r="CX2032" s="212">
        <v>1</v>
      </c>
    </row>
    <row r="2033" spans="91:102" ht="21" customHeight="1">
      <c r="CM2033" s="210"/>
      <c r="CN2033" s="213" t="s">
        <v>5543</v>
      </c>
      <c r="CO2033" s="213" t="s">
        <v>873</v>
      </c>
      <c r="CP2033" s="213" t="s">
        <v>1543</v>
      </c>
      <c r="CQ2033" s="213" t="s">
        <v>2123</v>
      </c>
      <c r="CR2033" s="213" t="s">
        <v>2124</v>
      </c>
      <c r="CS2033" s="213" t="s">
        <v>881</v>
      </c>
      <c r="CT2033" s="213" t="s">
        <v>4097</v>
      </c>
      <c r="CU2033" s="213" t="s">
        <v>883</v>
      </c>
      <c r="CV2033" s="214" t="s">
        <v>884</v>
      </c>
      <c r="CX2033" s="212">
        <v>1</v>
      </c>
    </row>
    <row r="2034" spans="91:102" ht="21" customHeight="1">
      <c r="CM2034" s="210"/>
      <c r="CN2034" s="213" t="s">
        <v>5544</v>
      </c>
      <c r="CO2034" s="213" t="s">
        <v>873</v>
      </c>
      <c r="CP2034" s="213" t="s">
        <v>1543</v>
      </c>
      <c r="CQ2034" s="213" t="s">
        <v>2126</v>
      </c>
      <c r="CR2034" s="213" t="s">
        <v>2126</v>
      </c>
      <c r="CS2034" s="213" t="s">
        <v>881</v>
      </c>
      <c r="CT2034" s="213" t="s">
        <v>4097</v>
      </c>
      <c r="CU2034" s="213" t="s">
        <v>883</v>
      </c>
      <c r="CV2034" s="214" t="s">
        <v>884</v>
      </c>
      <c r="CX2034" s="212">
        <v>1</v>
      </c>
    </row>
    <row r="2035" spans="91:102" ht="21" customHeight="1">
      <c r="CM2035" s="210"/>
      <c r="CN2035" s="213" t="s">
        <v>5545</v>
      </c>
      <c r="CO2035" s="213" t="s">
        <v>873</v>
      </c>
      <c r="CP2035" s="213" t="s">
        <v>1543</v>
      </c>
      <c r="CQ2035" s="213" t="s">
        <v>1601</v>
      </c>
      <c r="CR2035" s="213" t="s">
        <v>1601</v>
      </c>
      <c r="CS2035" s="213" t="s">
        <v>881</v>
      </c>
      <c r="CT2035" s="213" t="s">
        <v>4097</v>
      </c>
      <c r="CU2035" s="213" t="s">
        <v>883</v>
      </c>
      <c r="CV2035" s="214" t="s">
        <v>884</v>
      </c>
      <c r="CX2035" s="212">
        <v>1</v>
      </c>
    </row>
    <row r="2036" spans="91:102" ht="21" customHeight="1">
      <c r="CM2036" s="210"/>
      <c r="CN2036" s="213" t="s">
        <v>5546</v>
      </c>
      <c r="CO2036" s="213" t="s">
        <v>873</v>
      </c>
      <c r="CP2036" s="213" t="s">
        <v>1543</v>
      </c>
      <c r="CQ2036" s="213" t="s">
        <v>1605</v>
      </c>
      <c r="CR2036" s="213" t="s">
        <v>1605</v>
      </c>
      <c r="CS2036" s="213" t="s">
        <v>881</v>
      </c>
      <c r="CT2036" s="213" t="s">
        <v>4097</v>
      </c>
      <c r="CU2036" s="213" t="s">
        <v>883</v>
      </c>
      <c r="CV2036" s="214" t="s">
        <v>884</v>
      </c>
      <c r="CX2036" s="212">
        <v>1</v>
      </c>
    </row>
    <row r="2037" spans="91:102" ht="21" customHeight="1">
      <c r="CM2037" s="210"/>
      <c r="CN2037" s="213" t="s">
        <v>5547</v>
      </c>
      <c r="CO2037" s="213" t="s">
        <v>873</v>
      </c>
      <c r="CP2037" s="213" t="s">
        <v>1543</v>
      </c>
      <c r="CQ2037" s="213" t="s">
        <v>2180</v>
      </c>
      <c r="CR2037" s="213" t="s">
        <v>2180</v>
      </c>
      <c r="CS2037" s="213" t="s">
        <v>881</v>
      </c>
      <c r="CT2037" s="213" t="s">
        <v>4097</v>
      </c>
      <c r="CU2037" s="213" t="s">
        <v>883</v>
      </c>
      <c r="CV2037" s="214" t="s">
        <v>884</v>
      </c>
      <c r="CX2037" s="212">
        <v>1</v>
      </c>
    </row>
    <row r="2038" spans="91:102" ht="21" customHeight="1">
      <c r="CM2038" s="210"/>
      <c r="CN2038" s="213" t="s">
        <v>5548</v>
      </c>
      <c r="CO2038" s="213" t="s">
        <v>873</v>
      </c>
      <c r="CP2038" s="213" t="s">
        <v>1543</v>
      </c>
      <c r="CQ2038" s="213" t="s">
        <v>5549</v>
      </c>
      <c r="CR2038" s="213" t="s">
        <v>5549</v>
      </c>
      <c r="CS2038" s="213" t="s">
        <v>881</v>
      </c>
      <c r="CT2038" s="213" t="s">
        <v>4097</v>
      </c>
      <c r="CU2038" s="213" t="s">
        <v>883</v>
      </c>
      <c r="CV2038" s="214" t="s">
        <v>884</v>
      </c>
      <c r="CX2038" s="212">
        <v>1</v>
      </c>
    </row>
    <row r="2039" spans="91:102" ht="21" customHeight="1">
      <c r="CM2039" s="210"/>
      <c r="CN2039" s="213" t="s">
        <v>5550</v>
      </c>
      <c r="CO2039" s="213" t="s">
        <v>890</v>
      </c>
      <c r="CP2039" s="213" t="s">
        <v>879</v>
      </c>
      <c r="CQ2039" s="213" t="s">
        <v>5551</v>
      </c>
      <c r="CR2039" s="213" t="s">
        <v>5551</v>
      </c>
      <c r="CS2039" s="213" t="s">
        <v>881</v>
      </c>
      <c r="CT2039" s="213" t="s">
        <v>5552</v>
      </c>
      <c r="CU2039" s="213" t="s">
        <v>883</v>
      </c>
      <c r="CV2039" s="214" t="s">
        <v>884</v>
      </c>
      <c r="CX2039" s="212">
        <v>1</v>
      </c>
    </row>
    <row r="2040" spans="91:102" ht="21" customHeight="1">
      <c r="CM2040" s="210"/>
      <c r="CN2040" s="213" t="s">
        <v>5553</v>
      </c>
      <c r="CO2040" s="213" t="s">
        <v>890</v>
      </c>
      <c r="CP2040" s="213" t="s">
        <v>879</v>
      </c>
      <c r="CQ2040" s="213" t="s">
        <v>5554</v>
      </c>
      <c r="CR2040" s="213" t="s">
        <v>5554</v>
      </c>
      <c r="CS2040" s="213" t="s">
        <v>881</v>
      </c>
      <c r="CT2040" s="213" t="s">
        <v>5552</v>
      </c>
      <c r="CU2040" s="213" t="s">
        <v>883</v>
      </c>
      <c r="CV2040" s="214" t="s">
        <v>884</v>
      </c>
      <c r="CX2040" s="212">
        <v>1</v>
      </c>
    </row>
    <row r="2041" spans="91:102" ht="21" customHeight="1">
      <c r="CM2041" s="210"/>
      <c r="CN2041" s="213" t="s">
        <v>5555</v>
      </c>
      <c r="CO2041" s="213" t="s">
        <v>890</v>
      </c>
      <c r="CP2041" s="213" t="s">
        <v>879</v>
      </c>
      <c r="CQ2041" s="213" t="s">
        <v>5556</v>
      </c>
      <c r="CR2041" s="213" t="s">
        <v>5557</v>
      </c>
      <c r="CS2041" s="213" t="s">
        <v>881</v>
      </c>
      <c r="CT2041" s="213" t="s">
        <v>5552</v>
      </c>
      <c r="CU2041" s="213" t="s">
        <v>883</v>
      </c>
      <c r="CV2041" s="214" t="s">
        <v>884</v>
      </c>
      <c r="CX2041" s="212">
        <v>1</v>
      </c>
    </row>
    <row r="2042" spans="91:102" ht="21" customHeight="1">
      <c r="CM2042" s="210"/>
      <c r="CN2042" s="213" t="s">
        <v>5558</v>
      </c>
      <c r="CO2042" s="213" t="s">
        <v>890</v>
      </c>
      <c r="CP2042" s="213" t="s">
        <v>879</v>
      </c>
      <c r="CQ2042" s="213" t="s">
        <v>5559</v>
      </c>
      <c r="CR2042" s="213" t="s">
        <v>5560</v>
      </c>
      <c r="CS2042" s="213" t="s">
        <v>881</v>
      </c>
      <c r="CT2042" s="213" t="s">
        <v>5552</v>
      </c>
      <c r="CU2042" s="213" t="s">
        <v>883</v>
      </c>
      <c r="CV2042" s="214" t="s">
        <v>884</v>
      </c>
      <c r="CX2042" s="212">
        <v>1</v>
      </c>
    </row>
    <row r="2043" spans="91:102" ht="21" customHeight="1">
      <c r="CM2043" s="210"/>
      <c r="CN2043" s="213" t="s">
        <v>5561</v>
      </c>
      <c r="CO2043" s="213" t="s">
        <v>890</v>
      </c>
      <c r="CP2043" s="213" t="s">
        <v>879</v>
      </c>
      <c r="CQ2043" s="213" t="s">
        <v>5562</v>
      </c>
      <c r="CR2043" s="213" t="s">
        <v>5562</v>
      </c>
      <c r="CS2043" s="213" t="s">
        <v>881</v>
      </c>
      <c r="CT2043" s="213" t="s">
        <v>5552</v>
      </c>
      <c r="CU2043" s="213" t="s">
        <v>883</v>
      </c>
      <c r="CV2043" s="214" t="s">
        <v>884</v>
      </c>
      <c r="CX2043" s="212">
        <v>1</v>
      </c>
    </row>
    <row r="2044" spans="91:102" ht="21" customHeight="1">
      <c r="CM2044" s="210"/>
      <c r="CN2044" s="213" t="s">
        <v>5563</v>
      </c>
      <c r="CO2044" s="213" t="s">
        <v>890</v>
      </c>
      <c r="CP2044" s="213" t="s">
        <v>879</v>
      </c>
      <c r="CQ2044" s="213" t="s">
        <v>5564</v>
      </c>
      <c r="CR2044" s="213" t="s">
        <v>5564</v>
      </c>
      <c r="CS2044" s="213" t="s">
        <v>881</v>
      </c>
      <c r="CT2044" s="213" t="s">
        <v>5552</v>
      </c>
      <c r="CU2044" s="213" t="s">
        <v>883</v>
      </c>
      <c r="CV2044" s="214" t="s">
        <v>884</v>
      </c>
      <c r="CX2044" s="212">
        <v>1</v>
      </c>
    </row>
    <row r="2045" spans="91:102" ht="21" customHeight="1">
      <c r="CM2045" s="210"/>
      <c r="CN2045" s="213" t="s">
        <v>5565</v>
      </c>
      <c r="CO2045" s="213" t="s">
        <v>890</v>
      </c>
      <c r="CP2045" s="213" t="s">
        <v>879</v>
      </c>
      <c r="CQ2045" s="213" t="s">
        <v>5566</v>
      </c>
      <c r="CR2045" s="213" t="s">
        <v>5567</v>
      </c>
      <c r="CS2045" s="213" t="s">
        <v>881</v>
      </c>
      <c r="CT2045" s="213" t="s">
        <v>5552</v>
      </c>
      <c r="CU2045" s="213" t="s">
        <v>883</v>
      </c>
      <c r="CV2045" s="214" t="s">
        <v>884</v>
      </c>
      <c r="CX2045" s="212">
        <v>1</v>
      </c>
    </row>
    <row r="2046" spans="91:102" ht="21" customHeight="1">
      <c r="CM2046" s="210"/>
      <c r="CN2046" s="213" t="s">
        <v>5568</v>
      </c>
      <c r="CO2046" s="213" t="s">
        <v>890</v>
      </c>
      <c r="CP2046" s="213" t="s">
        <v>879</v>
      </c>
      <c r="CQ2046" s="213" t="s">
        <v>5569</v>
      </c>
      <c r="CR2046" s="213" t="s">
        <v>5570</v>
      </c>
      <c r="CS2046" s="213" t="s">
        <v>881</v>
      </c>
      <c r="CT2046" s="213" t="s">
        <v>5552</v>
      </c>
      <c r="CU2046" s="213" t="s">
        <v>883</v>
      </c>
      <c r="CV2046" s="214" t="s">
        <v>884</v>
      </c>
      <c r="CX2046" s="212">
        <v>1</v>
      </c>
    </row>
    <row r="2047" spans="91:102" ht="21" customHeight="1">
      <c r="CM2047" s="210"/>
      <c r="CN2047" s="213" t="s">
        <v>5571</v>
      </c>
      <c r="CO2047" s="213" t="s">
        <v>890</v>
      </c>
      <c r="CP2047" s="213" t="s">
        <v>879</v>
      </c>
      <c r="CQ2047" s="213" t="s">
        <v>5572</v>
      </c>
      <c r="CR2047" s="213" t="s">
        <v>5573</v>
      </c>
      <c r="CS2047" s="213" t="s">
        <v>881</v>
      </c>
      <c r="CT2047" s="213" t="s">
        <v>5552</v>
      </c>
      <c r="CU2047" s="213" t="s">
        <v>883</v>
      </c>
      <c r="CV2047" s="214" t="s">
        <v>884</v>
      </c>
      <c r="CX2047" s="212">
        <v>1</v>
      </c>
    </row>
    <row r="2048" spans="91:102" ht="21" customHeight="1">
      <c r="CM2048" s="210"/>
      <c r="CN2048" s="213" t="s">
        <v>5574</v>
      </c>
      <c r="CO2048" s="213" t="s">
        <v>890</v>
      </c>
      <c r="CP2048" s="213" t="s">
        <v>879</v>
      </c>
      <c r="CQ2048" s="213" t="s">
        <v>5575</v>
      </c>
      <c r="CR2048" s="213" t="s">
        <v>5576</v>
      </c>
      <c r="CS2048" s="213" t="s">
        <v>881</v>
      </c>
      <c r="CT2048" s="213" t="s">
        <v>5552</v>
      </c>
      <c r="CU2048" s="213" t="s">
        <v>883</v>
      </c>
      <c r="CV2048" s="214" t="s">
        <v>884</v>
      </c>
      <c r="CX2048" s="212">
        <v>1</v>
      </c>
    </row>
    <row r="2049" spans="91:102" ht="21" customHeight="1">
      <c r="CM2049" s="210"/>
      <c r="CN2049" s="213" t="s">
        <v>5577</v>
      </c>
      <c r="CO2049" s="213" t="s">
        <v>890</v>
      </c>
      <c r="CP2049" s="213" t="s">
        <v>879</v>
      </c>
      <c r="CQ2049" s="213" t="s">
        <v>5578</v>
      </c>
      <c r="CR2049" s="213" t="s">
        <v>5579</v>
      </c>
      <c r="CS2049" s="213" t="s">
        <v>881</v>
      </c>
      <c r="CT2049" s="213" t="s">
        <v>5552</v>
      </c>
      <c r="CU2049" s="213" t="s">
        <v>883</v>
      </c>
      <c r="CV2049" s="214" t="s">
        <v>884</v>
      </c>
      <c r="CX2049" s="212">
        <v>1</v>
      </c>
    </row>
    <row r="2050" spans="91:102" ht="21" customHeight="1">
      <c r="CM2050" s="210"/>
      <c r="CN2050" s="213" t="s">
        <v>5580</v>
      </c>
      <c r="CO2050" s="213" t="s">
        <v>890</v>
      </c>
      <c r="CP2050" s="213" t="s">
        <v>879</v>
      </c>
      <c r="CQ2050" s="213" t="s">
        <v>5581</v>
      </c>
      <c r="CR2050" s="213" t="s">
        <v>5582</v>
      </c>
      <c r="CS2050" s="213" t="s">
        <v>881</v>
      </c>
      <c r="CT2050" s="213" t="s">
        <v>5552</v>
      </c>
      <c r="CU2050" s="213" t="s">
        <v>883</v>
      </c>
      <c r="CV2050" s="214" t="s">
        <v>884</v>
      </c>
      <c r="CX2050" s="212">
        <v>1</v>
      </c>
    </row>
    <row r="2051" spans="91:102" ht="21" customHeight="1">
      <c r="CM2051" s="210"/>
      <c r="CN2051" s="213" t="s">
        <v>5583</v>
      </c>
      <c r="CO2051" s="213" t="s">
        <v>890</v>
      </c>
      <c r="CP2051" s="213" t="s">
        <v>879</v>
      </c>
      <c r="CQ2051" s="213" t="s">
        <v>5584</v>
      </c>
      <c r="CR2051" s="213" t="s">
        <v>5585</v>
      </c>
      <c r="CS2051" s="213" t="s">
        <v>881</v>
      </c>
      <c r="CT2051" s="213" t="s">
        <v>5552</v>
      </c>
      <c r="CU2051" s="213" t="s">
        <v>883</v>
      </c>
      <c r="CV2051" s="214" t="s">
        <v>884</v>
      </c>
      <c r="CX2051" s="212">
        <v>1</v>
      </c>
    </row>
    <row r="2052" spans="91:102" ht="21" customHeight="1">
      <c r="CM2052" s="210"/>
      <c r="CN2052" s="213" t="s">
        <v>5586</v>
      </c>
      <c r="CO2052" s="213" t="s">
        <v>890</v>
      </c>
      <c r="CP2052" s="213" t="s">
        <v>879</v>
      </c>
      <c r="CQ2052" s="213" t="s">
        <v>5587</v>
      </c>
      <c r="CR2052" s="213" t="s">
        <v>5587</v>
      </c>
      <c r="CS2052" s="213" t="s">
        <v>971</v>
      </c>
      <c r="CT2052" s="213" t="s">
        <v>972</v>
      </c>
      <c r="CU2052" s="213" t="s">
        <v>883</v>
      </c>
      <c r="CV2052" s="214" t="s">
        <v>973</v>
      </c>
      <c r="CX2052" s="212">
        <v>1</v>
      </c>
    </row>
    <row r="2053" spans="91:102" ht="21" customHeight="1">
      <c r="CM2053" s="210"/>
      <c r="CN2053" s="213" t="s">
        <v>5588</v>
      </c>
      <c r="CO2053" s="213" t="s">
        <v>890</v>
      </c>
      <c r="CP2053" s="213" t="s">
        <v>879</v>
      </c>
      <c r="CQ2053" s="213" t="s">
        <v>5589</v>
      </c>
      <c r="CR2053" s="213" t="s">
        <v>5589</v>
      </c>
      <c r="CS2053" s="213" t="s">
        <v>971</v>
      </c>
      <c r="CT2053" s="213" t="s">
        <v>972</v>
      </c>
      <c r="CU2053" s="213" t="s">
        <v>883</v>
      </c>
      <c r="CV2053" s="214" t="s">
        <v>973</v>
      </c>
      <c r="CX2053" s="212">
        <v>1</v>
      </c>
    </row>
    <row r="2054" spans="91:102" ht="21" customHeight="1">
      <c r="CM2054" s="210"/>
      <c r="CN2054" s="213" t="s">
        <v>5590</v>
      </c>
      <c r="CO2054" s="213" t="s">
        <v>890</v>
      </c>
      <c r="CP2054" s="213" t="s">
        <v>879</v>
      </c>
      <c r="CQ2054" s="213" t="s">
        <v>5591</v>
      </c>
      <c r="CR2054" s="213" t="s">
        <v>5591</v>
      </c>
      <c r="CS2054" s="213" t="s">
        <v>971</v>
      </c>
      <c r="CT2054" s="213" t="s">
        <v>972</v>
      </c>
      <c r="CU2054" s="213" t="s">
        <v>883</v>
      </c>
      <c r="CV2054" s="214" t="s">
        <v>973</v>
      </c>
      <c r="CX2054" s="212">
        <v>1</v>
      </c>
    </row>
    <row r="2055" spans="91:102" ht="21" customHeight="1">
      <c r="CM2055" s="210"/>
      <c r="CN2055" s="213" t="s">
        <v>5592</v>
      </c>
      <c r="CO2055" s="213" t="s">
        <v>890</v>
      </c>
      <c r="CP2055" s="213" t="s">
        <v>879</v>
      </c>
      <c r="CQ2055" s="213" t="s">
        <v>5593</v>
      </c>
      <c r="CR2055" s="213" t="s">
        <v>5593</v>
      </c>
      <c r="CS2055" s="213" t="s">
        <v>881</v>
      </c>
      <c r="CT2055" s="213" t="s">
        <v>5552</v>
      </c>
      <c r="CU2055" s="213" t="s">
        <v>883</v>
      </c>
      <c r="CV2055" s="214" t="s">
        <v>884</v>
      </c>
      <c r="CX2055" s="212">
        <v>1</v>
      </c>
    </row>
    <row r="2056" spans="91:102" ht="21" customHeight="1">
      <c r="CM2056" s="210"/>
      <c r="CN2056" s="213" t="s">
        <v>5594</v>
      </c>
      <c r="CO2056" s="213" t="s">
        <v>890</v>
      </c>
      <c r="CP2056" s="213" t="s">
        <v>879</v>
      </c>
      <c r="CQ2056" s="213" t="s">
        <v>5595</v>
      </c>
      <c r="CR2056" s="213" t="s">
        <v>5595</v>
      </c>
      <c r="CS2056" s="213" t="s">
        <v>881</v>
      </c>
      <c r="CT2056" s="213" t="s">
        <v>5552</v>
      </c>
      <c r="CU2056" s="213" t="s">
        <v>883</v>
      </c>
      <c r="CV2056" s="214" t="s">
        <v>884</v>
      </c>
      <c r="CX2056" s="212">
        <v>1</v>
      </c>
    </row>
    <row r="2057" spans="91:102" ht="21" customHeight="1">
      <c r="CM2057" s="210"/>
      <c r="CN2057" s="213" t="s">
        <v>5596</v>
      </c>
      <c r="CO2057" s="213" t="s">
        <v>890</v>
      </c>
      <c r="CP2057" s="213" t="s">
        <v>879</v>
      </c>
      <c r="CQ2057" s="213" t="s">
        <v>5597</v>
      </c>
      <c r="CR2057" s="213" t="s">
        <v>5597</v>
      </c>
      <c r="CS2057" s="213" t="s">
        <v>881</v>
      </c>
      <c r="CT2057" s="213" t="s">
        <v>5552</v>
      </c>
      <c r="CU2057" s="213" t="s">
        <v>883</v>
      </c>
      <c r="CV2057" s="214" t="s">
        <v>884</v>
      </c>
      <c r="CX2057" s="212">
        <v>1</v>
      </c>
    </row>
    <row r="2058" spans="91:102" ht="21" customHeight="1">
      <c r="CM2058" s="210"/>
      <c r="CN2058" s="213" t="s">
        <v>5598</v>
      </c>
      <c r="CO2058" s="213" t="s">
        <v>890</v>
      </c>
      <c r="CP2058" s="213" t="s">
        <v>1543</v>
      </c>
      <c r="CQ2058" s="213" t="s">
        <v>5599</v>
      </c>
      <c r="CR2058" s="213" t="s">
        <v>5600</v>
      </c>
      <c r="CS2058" s="213" t="s">
        <v>881</v>
      </c>
      <c r="CT2058" s="213" t="s">
        <v>4097</v>
      </c>
      <c r="CU2058" s="213" t="s">
        <v>883</v>
      </c>
      <c r="CV2058" s="214" t="s">
        <v>884</v>
      </c>
      <c r="CX2058" s="212">
        <v>1</v>
      </c>
    </row>
    <row r="2059" spans="91:102" ht="21" customHeight="1">
      <c r="CM2059" s="210"/>
      <c r="CN2059" s="213" t="s">
        <v>5601</v>
      </c>
      <c r="CO2059" s="213" t="s">
        <v>890</v>
      </c>
      <c r="CP2059" s="213" t="s">
        <v>1543</v>
      </c>
      <c r="CQ2059" s="213" t="s">
        <v>5602</v>
      </c>
      <c r="CR2059" s="213" t="s">
        <v>5602</v>
      </c>
      <c r="CS2059" s="213" t="s">
        <v>881</v>
      </c>
      <c r="CT2059" s="213" t="s">
        <v>4097</v>
      </c>
      <c r="CU2059" s="213" t="s">
        <v>883</v>
      </c>
      <c r="CV2059" s="214" t="s">
        <v>884</v>
      </c>
      <c r="CX2059" s="212">
        <v>1</v>
      </c>
    </row>
    <row r="2060" spans="91:102" ht="21" customHeight="1">
      <c r="CM2060" s="210"/>
      <c r="CN2060" s="213" t="s">
        <v>5603</v>
      </c>
      <c r="CO2060" s="213" t="s">
        <v>890</v>
      </c>
      <c r="CP2060" s="213" t="s">
        <v>1543</v>
      </c>
      <c r="CQ2060" s="213" t="s">
        <v>5604</v>
      </c>
      <c r="CR2060" s="213" t="s">
        <v>5604</v>
      </c>
      <c r="CS2060" s="213" t="s">
        <v>881</v>
      </c>
      <c r="CT2060" s="213" t="s">
        <v>4097</v>
      </c>
      <c r="CU2060" s="213" t="s">
        <v>883</v>
      </c>
      <c r="CV2060" s="214" t="s">
        <v>884</v>
      </c>
      <c r="CX2060" s="212">
        <v>1</v>
      </c>
    </row>
    <row r="2061" spans="91:102" ht="21" customHeight="1">
      <c r="CM2061" s="210"/>
      <c r="CN2061" s="213" t="s">
        <v>5605</v>
      </c>
      <c r="CO2061" s="213" t="s">
        <v>890</v>
      </c>
      <c r="CP2061" s="213" t="s">
        <v>1543</v>
      </c>
      <c r="CQ2061" s="213" t="s">
        <v>1032</v>
      </c>
      <c r="CR2061" s="213" t="s">
        <v>1032</v>
      </c>
      <c r="CS2061" s="213" t="s">
        <v>881</v>
      </c>
      <c r="CT2061" s="213" t="s">
        <v>4097</v>
      </c>
      <c r="CU2061" s="213" t="s">
        <v>883</v>
      </c>
      <c r="CV2061" s="214" t="s">
        <v>884</v>
      </c>
      <c r="CX2061" s="212">
        <v>1</v>
      </c>
    </row>
    <row r="2062" spans="91:102" ht="21" customHeight="1">
      <c r="CM2062" s="210"/>
      <c r="CN2062" s="213" t="s">
        <v>5606</v>
      </c>
      <c r="CO2062" s="213" t="s">
        <v>890</v>
      </c>
      <c r="CP2062" s="213" t="s">
        <v>1543</v>
      </c>
      <c r="CQ2062" s="213" t="s">
        <v>5607</v>
      </c>
      <c r="CR2062" s="213" t="s">
        <v>5607</v>
      </c>
      <c r="CS2062" s="213" t="s">
        <v>881</v>
      </c>
      <c r="CT2062" s="213" t="s">
        <v>4097</v>
      </c>
      <c r="CU2062" s="213" t="s">
        <v>883</v>
      </c>
      <c r="CV2062" s="214" t="s">
        <v>884</v>
      </c>
      <c r="CX2062" s="212">
        <v>1</v>
      </c>
    </row>
    <row r="2063" spans="91:102" ht="21" customHeight="1">
      <c r="CM2063" s="210"/>
      <c r="CN2063" s="213" t="s">
        <v>5608</v>
      </c>
      <c r="CO2063" s="213" t="s">
        <v>890</v>
      </c>
      <c r="CP2063" s="213" t="s">
        <v>1543</v>
      </c>
      <c r="CQ2063" s="213" t="s">
        <v>5402</v>
      </c>
      <c r="CR2063" s="213" t="s">
        <v>5402</v>
      </c>
      <c r="CS2063" s="213" t="s">
        <v>881</v>
      </c>
      <c r="CT2063" s="213" t="s">
        <v>4097</v>
      </c>
      <c r="CU2063" s="213" t="s">
        <v>883</v>
      </c>
      <c r="CV2063" s="214" t="s">
        <v>884</v>
      </c>
      <c r="CX2063" s="212">
        <v>1</v>
      </c>
    </row>
    <row r="2064" spans="91:102" ht="21" customHeight="1">
      <c r="CM2064" s="210"/>
      <c r="CN2064" s="213" t="s">
        <v>5609</v>
      </c>
      <c r="CO2064" s="213" t="s">
        <v>890</v>
      </c>
      <c r="CP2064" s="213" t="s">
        <v>1543</v>
      </c>
      <c r="CQ2064" s="213" t="s">
        <v>5610</v>
      </c>
      <c r="CR2064" s="213" t="s">
        <v>5610</v>
      </c>
      <c r="CS2064" s="213" t="s">
        <v>881</v>
      </c>
      <c r="CT2064" s="213" t="s">
        <v>4097</v>
      </c>
      <c r="CU2064" s="213" t="s">
        <v>883</v>
      </c>
      <c r="CV2064" s="214" t="s">
        <v>884</v>
      </c>
      <c r="CX2064" s="212">
        <v>1</v>
      </c>
    </row>
    <row r="2065" spans="91:102" ht="21" customHeight="1">
      <c r="CM2065" s="210"/>
      <c r="CN2065" s="213" t="s">
        <v>5611</v>
      </c>
      <c r="CO2065" s="213" t="s">
        <v>890</v>
      </c>
      <c r="CP2065" s="213" t="s">
        <v>1543</v>
      </c>
      <c r="CQ2065" s="213" t="s">
        <v>5612</v>
      </c>
      <c r="CR2065" s="213" t="s">
        <v>5612</v>
      </c>
      <c r="CS2065" s="213" t="s">
        <v>881</v>
      </c>
      <c r="CT2065" s="213" t="s">
        <v>4097</v>
      </c>
      <c r="CU2065" s="213" t="s">
        <v>883</v>
      </c>
      <c r="CV2065" s="214" t="s">
        <v>884</v>
      </c>
      <c r="CX2065" s="212">
        <v>1</v>
      </c>
    </row>
    <row r="2066" spans="91:102" ht="21" customHeight="1">
      <c r="CM2066" s="210"/>
      <c r="CN2066" s="213" t="s">
        <v>5613</v>
      </c>
      <c r="CO2066" s="213" t="s">
        <v>890</v>
      </c>
      <c r="CP2066" s="213" t="s">
        <v>1543</v>
      </c>
      <c r="CQ2066" s="213" t="s">
        <v>5408</v>
      </c>
      <c r="CR2066" s="213" t="s">
        <v>5408</v>
      </c>
      <c r="CS2066" s="213" t="s">
        <v>881</v>
      </c>
      <c r="CT2066" s="213" t="s">
        <v>4097</v>
      </c>
      <c r="CU2066" s="213" t="s">
        <v>883</v>
      </c>
      <c r="CV2066" s="214" t="s">
        <v>884</v>
      </c>
      <c r="CX2066" s="212">
        <v>1</v>
      </c>
    </row>
    <row r="2067" spans="91:102" ht="21" customHeight="1">
      <c r="CM2067" s="210"/>
      <c r="CN2067" s="213" t="s">
        <v>5614</v>
      </c>
      <c r="CO2067" s="213" t="s">
        <v>890</v>
      </c>
      <c r="CP2067" s="213" t="s">
        <v>1543</v>
      </c>
      <c r="CQ2067" s="213" t="s">
        <v>5615</v>
      </c>
      <c r="CR2067" s="213" t="s">
        <v>5615</v>
      </c>
      <c r="CS2067" s="213" t="s">
        <v>881</v>
      </c>
      <c r="CT2067" s="213" t="s">
        <v>4097</v>
      </c>
      <c r="CU2067" s="213" t="s">
        <v>883</v>
      </c>
      <c r="CV2067" s="214" t="s">
        <v>884</v>
      </c>
      <c r="CX2067" s="212">
        <v>1</v>
      </c>
    </row>
    <row r="2068" spans="91:102" ht="21" customHeight="1">
      <c r="CM2068" s="210"/>
      <c r="CN2068" s="213" t="s">
        <v>5616</v>
      </c>
      <c r="CO2068" s="213" t="s">
        <v>890</v>
      </c>
      <c r="CP2068" s="213" t="s">
        <v>1543</v>
      </c>
      <c r="CQ2068" s="213" t="s">
        <v>5617</v>
      </c>
      <c r="CR2068" s="213" t="s">
        <v>5617</v>
      </c>
      <c r="CS2068" s="213" t="s">
        <v>881</v>
      </c>
      <c r="CT2068" s="213" t="s">
        <v>4097</v>
      </c>
      <c r="CU2068" s="213" t="s">
        <v>883</v>
      </c>
      <c r="CV2068" s="214" t="s">
        <v>884</v>
      </c>
      <c r="CX2068" s="212">
        <v>1</v>
      </c>
    </row>
    <row r="2069" spans="91:102" ht="21" customHeight="1">
      <c r="CM2069" s="210"/>
      <c r="CN2069" s="213" t="s">
        <v>5618</v>
      </c>
      <c r="CO2069" s="213" t="s">
        <v>890</v>
      </c>
      <c r="CP2069" s="213" t="s">
        <v>1543</v>
      </c>
      <c r="CQ2069" s="213" t="s">
        <v>5619</v>
      </c>
      <c r="CR2069" s="213" t="s">
        <v>5619</v>
      </c>
      <c r="CS2069" s="213" t="s">
        <v>881</v>
      </c>
      <c r="CT2069" s="213" t="s">
        <v>4097</v>
      </c>
      <c r="CU2069" s="213" t="s">
        <v>883</v>
      </c>
      <c r="CV2069" s="214" t="s">
        <v>884</v>
      </c>
      <c r="CX2069" s="212">
        <v>1</v>
      </c>
    </row>
    <row r="2070" spans="91:102" ht="21" customHeight="1">
      <c r="CM2070" s="210"/>
      <c r="CN2070" s="213" t="s">
        <v>5620</v>
      </c>
      <c r="CO2070" s="213" t="s">
        <v>890</v>
      </c>
      <c r="CP2070" s="213" t="s">
        <v>1543</v>
      </c>
      <c r="CQ2070" s="213" t="s">
        <v>1211</v>
      </c>
      <c r="CR2070" s="213" t="s">
        <v>1211</v>
      </c>
      <c r="CS2070" s="213" t="s">
        <v>881</v>
      </c>
      <c r="CT2070" s="213" t="s">
        <v>4097</v>
      </c>
      <c r="CU2070" s="213" t="s">
        <v>883</v>
      </c>
      <c r="CV2070" s="214" t="s">
        <v>884</v>
      </c>
      <c r="CX2070" s="212">
        <v>1</v>
      </c>
    </row>
    <row r="2071" spans="91:102" ht="21" customHeight="1">
      <c r="CM2071" s="210"/>
      <c r="CN2071" s="213" t="s">
        <v>5621</v>
      </c>
      <c r="CO2071" s="213" t="s">
        <v>890</v>
      </c>
      <c r="CP2071" s="213" t="s">
        <v>1543</v>
      </c>
      <c r="CQ2071" s="213" t="s">
        <v>5622</v>
      </c>
      <c r="CR2071" s="213" t="s">
        <v>5622</v>
      </c>
      <c r="CS2071" s="213" t="s">
        <v>881</v>
      </c>
      <c r="CT2071" s="213" t="s">
        <v>4097</v>
      </c>
      <c r="CU2071" s="213" t="s">
        <v>883</v>
      </c>
      <c r="CV2071" s="214" t="s">
        <v>884</v>
      </c>
      <c r="CX2071" s="212">
        <v>1</v>
      </c>
    </row>
    <row r="2072" spans="91:102" ht="21" customHeight="1">
      <c r="CM2072" s="210"/>
      <c r="CN2072" s="213" t="s">
        <v>5623</v>
      </c>
      <c r="CO2072" s="213" t="s">
        <v>890</v>
      </c>
      <c r="CP2072" s="213" t="s">
        <v>1543</v>
      </c>
      <c r="CQ2072" s="213" t="s">
        <v>5624</v>
      </c>
      <c r="CR2072" s="213" t="s">
        <v>5624</v>
      </c>
      <c r="CS2072" s="213" t="s">
        <v>881</v>
      </c>
      <c r="CT2072" s="213" t="s">
        <v>4097</v>
      </c>
      <c r="CU2072" s="213" t="s">
        <v>883</v>
      </c>
      <c r="CV2072" s="214" t="s">
        <v>884</v>
      </c>
      <c r="CX2072" s="212">
        <v>1</v>
      </c>
    </row>
    <row r="2073" spans="91:102" ht="21" customHeight="1">
      <c r="CM2073" s="210"/>
      <c r="CN2073" s="213" t="s">
        <v>5625</v>
      </c>
      <c r="CO2073" s="213" t="s">
        <v>900</v>
      </c>
      <c r="CP2073" s="213" t="s">
        <v>879</v>
      </c>
      <c r="CQ2073" s="213" t="s">
        <v>5626</v>
      </c>
      <c r="CR2073" s="213" t="s">
        <v>5626</v>
      </c>
      <c r="CS2073" s="213" t="s">
        <v>881</v>
      </c>
      <c r="CT2073" s="213" t="s">
        <v>5627</v>
      </c>
      <c r="CU2073" s="213" t="s">
        <v>883</v>
      </c>
      <c r="CV2073" s="214" t="s">
        <v>884</v>
      </c>
      <c r="CX2073" s="212">
        <v>1</v>
      </c>
    </row>
    <row r="2074" spans="91:102" ht="21" customHeight="1">
      <c r="CM2074" s="210"/>
      <c r="CN2074" s="213" t="s">
        <v>5628</v>
      </c>
      <c r="CO2074" s="213" t="s">
        <v>900</v>
      </c>
      <c r="CP2074" s="213" t="s">
        <v>879</v>
      </c>
      <c r="CQ2074" s="213" t="s">
        <v>5629</v>
      </c>
      <c r="CR2074" s="213" t="s">
        <v>5629</v>
      </c>
      <c r="CS2074" s="213" t="s">
        <v>881</v>
      </c>
      <c r="CT2074" s="213" t="s">
        <v>5627</v>
      </c>
      <c r="CU2074" s="213" t="s">
        <v>883</v>
      </c>
      <c r="CV2074" s="214" t="s">
        <v>884</v>
      </c>
      <c r="CX2074" s="212">
        <v>1</v>
      </c>
    </row>
    <row r="2075" spans="91:102" ht="21" customHeight="1">
      <c r="CM2075" s="210"/>
      <c r="CN2075" s="213" t="s">
        <v>5630</v>
      </c>
      <c r="CO2075" s="213" t="s">
        <v>900</v>
      </c>
      <c r="CP2075" s="213" t="s">
        <v>879</v>
      </c>
      <c r="CQ2075" s="213" t="s">
        <v>5631</v>
      </c>
      <c r="CR2075" s="213" t="s">
        <v>5631</v>
      </c>
      <c r="CS2075" s="213" t="s">
        <v>881</v>
      </c>
      <c r="CT2075" s="213" t="s">
        <v>5627</v>
      </c>
      <c r="CU2075" s="213" t="s">
        <v>883</v>
      </c>
      <c r="CV2075" s="214" t="s">
        <v>884</v>
      </c>
      <c r="CX2075" s="212">
        <v>1</v>
      </c>
    </row>
    <row r="2076" spans="91:102" ht="21" customHeight="1">
      <c r="CM2076" s="210"/>
      <c r="CN2076" s="213" t="s">
        <v>5632</v>
      </c>
      <c r="CO2076" s="213" t="s">
        <v>900</v>
      </c>
      <c r="CP2076" s="213" t="s">
        <v>879</v>
      </c>
      <c r="CQ2076" s="213" t="s">
        <v>5633</v>
      </c>
      <c r="CR2076" s="213" t="s">
        <v>5633</v>
      </c>
      <c r="CS2076" s="213" t="s">
        <v>881</v>
      </c>
      <c r="CT2076" s="213" t="s">
        <v>5627</v>
      </c>
      <c r="CU2076" s="213" t="s">
        <v>883</v>
      </c>
      <c r="CV2076" s="214" t="s">
        <v>884</v>
      </c>
      <c r="CX2076" s="212">
        <v>1</v>
      </c>
    </row>
    <row r="2077" spans="91:102" ht="21" customHeight="1">
      <c r="CM2077" s="210"/>
      <c r="CN2077" s="213" t="s">
        <v>5634</v>
      </c>
      <c r="CO2077" s="213" t="s">
        <v>900</v>
      </c>
      <c r="CP2077" s="213" t="s">
        <v>879</v>
      </c>
      <c r="CQ2077" s="213" t="s">
        <v>5635</v>
      </c>
      <c r="CR2077" s="213" t="s">
        <v>5636</v>
      </c>
      <c r="CS2077" s="213" t="s">
        <v>881</v>
      </c>
      <c r="CT2077" s="213" t="s">
        <v>5627</v>
      </c>
      <c r="CU2077" s="213" t="s">
        <v>883</v>
      </c>
      <c r="CV2077" s="214" t="s">
        <v>884</v>
      </c>
      <c r="CX2077" s="212">
        <v>1</v>
      </c>
    </row>
    <row r="2078" spans="91:102" ht="21" customHeight="1">
      <c r="CM2078" s="210"/>
      <c r="CN2078" s="213" t="s">
        <v>5637</v>
      </c>
      <c r="CO2078" s="213" t="s">
        <v>900</v>
      </c>
      <c r="CP2078" s="213" t="s">
        <v>879</v>
      </c>
      <c r="CQ2078" s="213" t="s">
        <v>5638</v>
      </c>
      <c r="CR2078" s="213" t="s">
        <v>5639</v>
      </c>
      <c r="CS2078" s="213" t="s">
        <v>881</v>
      </c>
      <c r="CT2078" s="213" t="s">
        <v>5627</v>
      </c>
      <c r="CU2078" s="213" t="s">
        <v>883</v>
      </c>
      <c r="CV2078" s="214" t="s">
        <v>884</v>
      </c>
      <c r="CX2078" s="212">
        <v>1</v>
      </c>
    </row>
    <row r="2079" spans="91:102" ht="21" customHeight="1">
      <c r="CM2079" s="210"/>
      <c r="CN2079" s="213" t="s">
        <v>5640</v>
      </c>
      <c r="CO2079" s="213" t="s">
        <v>900</v>
      </c>
      <c r="CP2079" s="213" t="s">
        <v>879</v>
      </c>
      <c r="CQ2079" s="213" t="s">
        <v>5641</v>
      </c>
      <c r="CR2079" s="213" t="s">
        <v>5642</v>
      </c>
      <c r="CS2079" s="213" t="s">
        <v>881</v>
      </c>
      <c r="CT2079" s="213" t="s">
        <v>5627</v>
      </c>
      <c r="CU2079" s="213" t="s">
        <v>883</v>
      </c>
      <c r="CV2079" s="214" t="s">
        <v>884</v>
      </c>
      <c r="CX2079" s="212">
        <v>1</v>
      </c>
    </row>
    <row r="2080" spans="91:102" ht="21" customHeight="1">
      <c r="CM2080" s="210"/>
      <c r="CN2080" s="213" t="s">
        <v>5643</v>
      </c>
      <c r="CO2080" s="213" t="s">
        <v>900</v>
      </c>
      <c r="CP2080" s="213" t="s">
        <v>879</v>
      </c>
      <c r="CQ2080" s="213" t="s">
        <v>5644</v>
      </c>
      <c r="CR2080" s="213" t="s">
        <v>5645</v>
      </c>
      <c r="CS2080" s="213" t="s">
        <v>881</v>
      </c>
      <c r="CT2080" s="213" t="s">
        <v>5627</v>
      </c>
      <c r="CU2080" s="213" t="s">
        <v>883</v>
      </c>
      <c r="CV2080" s="214" t="s">
        <v>884</v>
      </c>
      <c r="CX2080" s="212">
        <v>1</v>
      </c>
    </row>
    <row r="2081" spans="91:102" ht="21" customHeight="1">
      <c r="CM2081" s="210"/>
      <c r="CN2081" s="213" t="s">
        <v>5646</v>
      </c>
      <c r="CO2081" s="213" t="s">
        <v>900</v>
      </c>
      <c r="CP2081" s="213" t="s">
        <v>879</v>
      </c>
      <c r="CQ2081" s="213" t="s">
        <v>5647</v>
      </c>
      <c r="CR2081" s="213" t="s">
        <v>5648</v>
      </c>
      <c r="CS2081" s="213" t="s">
        <v>881</v>
      </c>
      <c r="CT2081" s="213" t="s">
        <v>5627</v>
      </c>
      <c r="CU2081" s="213" t="s">
        <v>883</v>
      </c>
      <c r="CV2081" s="214" t="s">
        <v>884</v>
      </c>
      <c r="CX2081" s="212">
        <v>1</v>
      </c>
    </row>
    <row r="2082" spans="91:102" ht="21" customHeight="1">
      <c r="CM2082" s="210"/>
      <c r="CN2082" s="213" t="s">
        <v>5649</v>
      </c>
      <c r="CO2082" s="213" t="s">
        <v>900</v>
      </c>
      <c r="CP2082" s="213" t="s">
        <v>879</v>
      </c>
      <c r="CQ2082" s="213" t="s">
        <v>5650</v>
      </c>
      <c r="CR2082" s="213" t="s">
        <v>5651</v>
      </c>
      <c r="CS2082" s="213" t="s">
        <v>881</v>
      </c>
      <c r="CT2082" s="213" t="s">
        <v>5627</v>
      </c>
      <c r="CU2082" s="213" t="s">
        <v>883</v>
      </c>
      <c r="CV2082" s="214" t="s">
        <v>884</v>
      </c>
      <c r="CX2082" s="212">
        <v>1</v>
      </c>
    </row>
    <row r="2083" spans="91:102" ht="21" customHeight="1">
      <c r="CM2083" s="210"/>
      <c r="CN2083" s="213" t="s">
        <v>5652</v>
      </c>
      <c r="CO2083" s="213" t="s">
        <v>900</v>
      </c>
      <c r="CP2083" s="213" t="s">
        <v>879</v>
      </c>
      <c r="CQ2083" s="213" t="s">
        <v>5653</v>
      </c>
      <c r="CR2083" s="213" t="s">
        <v>5654</v>
      </c>
      <c r="CS2083" s="213" t="s">
        <v>881</v>
      </c>
      <c r="CT2083" s="213" t="s">
        <v>5627</v>
      </c>
      <c r="CU2083" s="213" t="s">
        <v>883</v>
      </c>
      <c r="CV2083" s="214" t="s">
        <v>884</v>
      </c>
      <c r="CX2083" s="212">
        <v>1</v>
      </c>
    </row>
    <row r="2084" spans="91:102" ht="21" customHeight="1">
      <c r="CM2084" s="210"/>
      <c r="CN2084" s="213" t="s">
        <v>5655</v>
      </c>
      <c r="CO2084" s="213" t="s">
        <v>900</v>
      </c>
      <c r="CP2084" s="213" t="s">
        <v>879</v>
      </c>
      <c r="CQ2084" s="213" t="s">
        <v>5656</v>
      </c>
      <c r="CR2084" s="213" t="s">
        <v>5657</v>
      </c>
      <c r="CS2084" s="213" t="s">
        <v>881</v>
      </c>
      <c r="CT2084" s="213" t="s">
        <v>5627</v>
      </c>
      <c r="CU2084" s="213" t="s">
        <v>883</v>
      </c>
      <c r="CV2084" s="214" t="s">
        <v>884</v>
      </c>
      <c r="CX2084" s="212">
        <v>1</v>
      </c>
    </row>
    <row r="2085" spans="91:102" ht="21" customHeight="1">
      <c r="CM2085" s="210"/>
      <c r="CN2085" s="213" t="s">
        <v>5658</v>
      </c>
      <c r="CO2085" s="213" t="s">
        <v>900</v>
      </c>
      <c r="CP2085" s="213" t="s">
        <v>879</v>
      </c>
      <c r="CQ2085" s="213" t="s">
        <v>5659</v>
      </c>
      <c r="CR2085" s="213" t="s">
        <v>5660</v>
      </c>
      <c r="CS2085" s="213" t="s">
        <v>881</v>
      </c>
      <c r="CT2085" s="213" t="s">
        <v>5627</v>
      </c>
      <c r="CU2085" s="213" t="s">
        <v>883</v>
      </c>
      <c r="CV2085" s="214" t="s">
        <v>884</v>
      </c>
      <c r="CX2085" s="212">
        <v>1</v>
      </c>
    </row>
    <row r="2086" spans="91:102" ht="21" customHeight="1">
      <c r="CM2086" s="210"/>
      <c r="CN2086" s="213" t="s">
        <v>5661</v>
      </c>
      <c r="CO2086" s="213" t="s">
        <v>900</v>
      </c>
      <c r="CP2086" s="213" t="s">
        <v>879</v>
      </c>
      <c r="CQ2086" s="213" t="s">
        <v>5662</v>
      </c>
      <c r="CR2086" s="213" t="s">
        <v>5663</v>
      </c>
      <c r="CS2086" s="213" t="s">
        <v>881</v>
      </c>
      <c r="CT2086" s="213" t="s">
        <v>5627</v>
      </c>
      <c r="CU2086" s="213" t="s">
        <v>883</v>
      </c>
      <c r="CV2086" s="214" t="s">
        <v>884</v>
      </c>
      <c r="CX2086" s="212">
        <v>1</v>
      </c>
    </row>
    <row r="2087" spans="91:102" ht="21" customHeight="1">
      <c r="CM2087" s="210"/>
      <c r="CN2087" s="213" t="s">
        <v>5664</v>
      </c>
      <c r="CO2087" s="213" t="s">
        <v>900</v>
      </c>
      <c r="CP2087" s="213" t="s">
        <v>879</v>
      </c>
      <c r="CQ2087" s="213" t="s">
        <v>5665</v>
      </c>
      <c r="CR2087" s="213" t="s">
        <v>5666</v>
      </c>
      <c r="CS2087" s="213" t="s">
        <v>881</v>
      </c>
      <c r="CT2087" s="213" t="s">
        <v>5627</v>
      </c>
      <c r="CU2087" s="213" t="s">
        <v>883</v>
      </c>
      <c r="CV2087" s="214" t="s">
        <v>884</v>
      </c>
      <c r="CX2087" s="212">
        <v>1</v>
      </c>
    </row>
    <row r="2088" spans="91:102" ht="21" customHeight="1">
      <c r="CM2088" s="210"/>
      <c r="CN2088" s="213" t="s">
        <v>5667</v>
      </c>
      <c r="CO2088" s="213" t="s">
        <v>900</v>
      </c>
      <c r="CP2088" s="213" t="s">
        <v>879</v>
      </c>
      <c r="CQ2088" s="213" t="s">
        <v>5668</v>
      </c>
      <c r="CR2088" s="213" t="s">
        <v>5668</v>
      </c>
      <c r="CS2088" s="213" t="s">
        <v>881</v>
      </c>
      <c r="CT2088" s="213" t="s">
        <v>5627</v>
      </c>
      <c r="CU2088" s="213" t="s">
        <v>883</v>
      </c>
      <c r="CV2088" s="214" t="s">
        <v>884</v>
      </c>
      <c r="CX2088" s="212">
        <v>1</v>
      </c>
    </row>
    <row r="2089" spans="91:102" ht="21" customHeight="1">
      <c r="CM2089" s="210"/>
      <c r="CN2089" s="213" t="s">
        <v>5669</v>
      </c>
      <c r="CO2089" s="213" t="s">
        <v>900</v>
      </c>
      <c r="CP2089" s="213" t="s">
        <v>879</v>
      </c>
      <c r="CQ2089" s="213" t="s">
        <v>5670</v>
      </c>
      <c r="CR2089" s="213" t="s">
        <v>5670</v>
      </c>
      <c r="CS2089" s="213" t="s">
        <v>881</v>
      </c>
      <c r="CT2089" s="213" t="s">
        <v>5627</v>
      </c>
      <c r="CU2089" s="213" t="s">
        <v>883</v>
      </c>
      <c r="CV2089" s="214" t="s">
        <v>884</v>
      </c>
      <c r="CX2089" s="212">
        <v>1</v>
      </c>
    </row>
    <row r="2090" spans="91:102" ht="21" customHeight="1">
      <c r="CM2090" s="210"/>
      <c r="CN2090" s="213" t="s">
        <v>5671</v>
      </c>
      <c r="CO2090" s="213" t="s">
        <v>900</v>
      </c>
      <c r="CP2090" s="213" t="s">
        <v>879</v>
      </c>
      <c r="CQ2090" s="213" t="s">
        <v>5672</v>
      </c>
      <c r="CR2090" s="213" t="s">
        <v>5672</v>
      </c>
      <c r="CS2090" s="213" t="s">
        <v>971</v>
      </c>
      <c r="CT2090" s="213" t="s">
        <v>972</v>
      </c>
      <c r="CU2090" s="213" t="s">
        <v>883</v>
      </c>
      <c r="CV2090" s="214" t="s">
        <v>973</v>
      </c>
      <c r="CX2090" s="212">
        <v>1</v>
      </c>
    </row>
    <row r="2091" spans="91:102" ht="21" customHeight="1">
      <c r="CM2091" s="210"/>
      <c r="CN2091" s="213" t="s">
        <v>5673</v>
      </c>
      <c r="CO2091" s="213" t="s">
        <v>900</v>
      </c>
      <c r="CP2091" s="213" t="s">
        <v>879</v>
      </c>
      <c r="CQ2091" s="213" t="s">
        <v>5674</v>
      </c>
      <c r="CR2091" s="213" t="s">
        <v>5674</v>
      </c>
      <c r="CS2091" s="213" t="s">
        <v>881</v>
      </c>
      <c r="CT2091" s="213" t="s">
        <v>5627</v>
      </c>
      <c r="CU2091" s="213" t="s">
        <v>883</v>
      </c>
      <c r="CV2091" s="214" t="s">
        <v>884</v>
      </c>
      <c r="CX2091" s="212">
        <v>1</v>
      </c>
    </row>
    <row r="2092" spans="91:102" ht="21" customHeight="1">
      <c r="CM2092" s="210"/>
      <c r="CN2092" s="213" t="s">
        <v>5675</v>
      </c>
      <c r="CO2092" s="213" t="s">
        <v>900</v>
      </c>
      <c r="CP2092" s="213" t="s">
        <v>879</v>
      </c>
      <c r="CQ2092" s="213" t="s">
        <v>5676</v>
      </c>
      <c r="CR2092" s="213" t="s">
        <v>5676</v>
      </c>
      <c r="CS2092" s="213" t="s">
        <v>881</v>
      </c>
      <c r="CT2092" s="213" t="s">
        <v>5627</v>
      </c>
      <c r="CU2092" s="213" t="s">
        <v>883</v>
      </c>
      <c r="CV2092" s="214" t="s">
        <v>884</v>
      </c>
      <c r="CX2092" s="212">
        <v>1</v>
      </c>
    </row>
    <row r="2093" spans="91:102" ht="21" customHeight="1">
      <c r="CM2093" s="210"/>
      <c r="CN2093" s="213" t="s">
        <v>5677</v>
      </c>
      <c r="CO2093" s="213" t="s">
        <v>900</v>
      </c>
      <c r="CP2093" s="213" t="s">
        <v>879</v>
      </c>
      <c r="CQ2093" s="213" t="s">
        <v>5678</v>
      </c>
      <c r="CR2093" s="213" t="s">
        <v>5678</v>
      </c>
      <c r="CS2093" s="213" t="s">
        <v>971</v>
      </c>
      <c r="CT2093" s="213" t="s">
        <v>972</v>
      </c>
      <c r="CU2093" s="213" t="s">
        <v>883</v>
      </c>
      <c r="CV2093" s="214" t="s">
        <v>973</v>
      </c>
      <c r="CX2093" s="212">
        <v>1</v>
      </c>
    </row>
    <row r="2094" spans="91:102" ht="21" customHeight="1">
      <c r="CM2094" s="210"/>
      <c r="CN2094" s="213" t="s">
        <v>5679</v>
      </c>
      <c r="CO2094" s="213" t="s">
        <v>900</v>
      </c>
      <c r="CP2094" s="213" t="s">
        <v>1543</v>
      </c>
      <c r="CQ2094" s="213" t="s">
        <v>5680</v>
      </c>
      <c r="CR2094" s="213" t="s">
        <v>5680</v>
      </c>
      <c r="CS2094" s="213" t="s">
        <v>881</v>
      </c>
      <c r="CT2094" s="213" t="s">
        <v>5681</v>
      </c>
      <c r="CU2094" s="213" t="s">
        <v>883</v>
      </c>
      <c r="CV2094" s="214" t="s">
        <v>884</v>
      </c>
      <c r="CX2094" s="212">
        <v>1</v>
      </c>
    </row>
    <row r="2095" spans="91:102" ht="21" customHeight="1">
      <c r="CM2095" s="210"/>
      <c r="CN2095" s="213" t="s">
        <v>5682</v>
      </c>
      <c r="CO2095" s="213" t="s">
        <v>900</v>
      </c>
      <c r="CP2095" s="213" t="s">
        <v>1543</v>
      </c>
      <c r="CQ2095" s="213" t="s">
        <v>975</v>
      </c>
      <c r="CR2095" s="213" t="s">
        <v>976</v>
      </c>
      <c r="CS2095" s="213" t="s">
        <v>881</v>
      </c>
      <c r="CT2095" s="213" t="s">
        <v>5681</v>
      </c>
      <c r="CU2095" s="213" t="s">
        <v>883</v>
      </c>
      <c r="CV2095" s="214" t="s">
        <v>884</v>
      </c>
      <c r="CX2095" s="212">
        <v>1</v>
      </c>
    </row>
    <row r="2096" spans="91:102" ht="21" customHeight="1">
      <c r="CM2096" s="210"/>
      <c r="CN2096" s="213" t="s">
        <v>5683</v>
      </c>
      <c r="CO2096" s="213" t="s">
        <v>900</v>
      </c>
      <c r="CP2096" s="213" t="s">
        <v>1543</v>
      </c>
      <c r="CQ2096" s="213" t="s">
        <v>5684</v>
      </c>
      <c r="CR2096" s="213" t="s">
        <v>5684</v>
      </c>
      <c r="CS2096" s="213" t="s">
        <v>881</v>
      </c>
      <c r="CT2096" s="213" t="s">
        <v>5681</v>
      </c>
      <c r="CU2096" s="213" t="s">
        <v>883</v>
      </c>
      <c r="CV2096" s="214" t="s">
        <v>884</v>
      </c>
      <c r="CX2096" s="212">
        <v>1</v>
      </c>
    </row>
    <row r="2097" spans="91:102" ht="21" customHeight="1">
      <c r="CM2097" s="210"/>
      <c r="CN2097" s="213" t="s">
        <v>5685</v>
      </c>
      <c r="CO2097" s="213" t="s">
        <v>900</v>
      </c>
      <c r="CP2097" s="213" t="s">
        <v>1543</v>
      </c>
      <c r="CQ2097" s="213" t="s">
        <v>5686</v>
      </c>
      <c r="CR2097" s="213" t="s">
        <v>5686</v>
      </c>
      <c r="CS2097" s="213" t="s">
        <v>881</v>
      </c>
      <c r="CT2097" s="213" t="s">
        <v>5681</v>
      </c>
      <c r="CU2097" s="213" t="s">
        <v>883</v>
      </c>
      <c r="CV2097" s="214" t="s">
        <v>884</v>
      </c>
      <c r="CX2097" s="212">
        <v>1</v>
      </c>
    </row>
    <row r="2098" spans="91:102" ht="21" customHeight="1">
      <c r="CM2098" s="210"/>
      <c r="CN2098" s="213" t="s">
        <v>5687</v>
      </c>
      <c r="CO2098" s="213" t="s">
        <v>900</v>
      </c>
      <c r="CP2098" s="213" t="s">
        <v>1543</v>
      </c>
      <c r="CQ2098" s="213" t="s">
        <v>5688</v>
      </c>
      <c r="CR2098" s="213" t="s">
        <v>5688</v>
      </c>
      <c r="CS2098" s="213" t="s">
        <v>881</v>
      </c>
      <c r="CT2098" s="213" t="s">
        <v>5681</v>
      </c>
      <c r="CU2098" s="213" t="s">
        <v>883</v>
      </c>
      <c r="CV2098" s="214" t="s">
        <v>884</v>
      </c>
      <c r="CX2098" s="212">
        <v>1</v>
      </c>
    </row>
    <row r="2099" spans="91:102" ht="21" customHeight="1">
      <c r="CM2099" s="210"/>
      <c r="CN2099" s="213" t="s">
        <v>5689</v>
      </c>
      <c r="CO2099" s="213" t="s">
        <v>900</v>
      </c>
      <c r="CP2099" s="213" t="s">
        <v>1543</v>
      </c>
      <c r="CQ2099" s="213" t="s">
        <v>5690</v>
      </c>
      <c r="CR2099" s="213" t="s">
        <v>5690</v>
      </c>
      <c r="CS2099" s="213" t="s">
        <v>881</v>
      </c>
      <c r="CT2099" s="213" t="s">
        <v>5681</v>
      </c>
      <c r="CU2099" s="213" t="s">
        <v>883</v>
      </c>
      <c r="CV2099" s="214" t="s">
        <v>884</v>
      </c>
      <c r="CX2099" s="212">
        <v>1</v>
      </c>
    </row>
    <row r="2100" spans="91:102" ht="21" customHeight="1">
      <c r="CM2100" s="210"/>
      <c r="CN2100" s="213" t="s">
        <v>5691</v>
      </c>
      <c r="CO2100" s="213" t="s">
        <v>900</v>
      </c>
      <c r="CP2100" s="213" t="s">
        <v>1543</v>
      </c>
      <c r="CQ2100" s="213" t="s">
        <v>5692</v>
      </c>
      <c r="CR2100" s="213" t="s">
        <v>5692</v>
      </c>
      <c r="CS2100" s="213" t="s">
        <v>971</v>
      </c>
      <c r="CT2100" s="213" t="s">
        <v>1552</v>
      </c>
      <c r="CU2100" s="213" t="s">
        <v>883</v>
      </c>
      <c r="CV2100" s="214" t="s">
        <v>973</v>
      </c>
      <c r="CX2100" s="212">
        <v>1</v>
      </c>
    </row>
    <row r="2101" spans="91:102" ht="21" customHeight="1">
      <c r="CM2101" s="210"/>
      <c r="CN2101" s="213" t="s">
        <v>5693</v>
      </c>
      <c r="CO2101" s="213" t="s">
        <v>900</v>
      </c>
      <c r="CP2101" s="213" t="s">
        <v>1543</v>
      </c>
      <c r="CQ2101" s="213" t="s">
        <v>5694</v>
      </c>
      <c r="CR2101" s="213" t="s">
        <v>5694</v>
      </c>
      <c r="CS2101" s="213" t="s">
        <v>881</v>
      </c>
      <c r="CT2101" s="213" t="s">
        <v>5681</v>
      </c>
      <c r="CU2101" s="213" t="s">
        <v>883</v>
      </c>
      <c r="CV2101" s="214" t="s">
        <v>884</v>
      </c>
      <c r="CX2101" s="212">
        <v>1</v>
      </c>
    </row>
    <row r="2102" spans="91:102" ht="21" customHeight="1">
      <c r="CM2102" s="210"/>
      <c r="CN2102" s="213" t="s">
        <v>5695</v>
      </c>
      <c r="CO2102" s="213" t="s">
        <v>900</v>
      </c>
      <c r="CP2102" s="213" t="s">
        <v>1543</v>
      </c>
      <c r="CQ2102" s="213" t="s">
        <v>5696</v>
      </c>
      <c r="CR2102" s="213" t="s">
        <v>5697</v>
      </c>
      <c r="CS2102" s="213" t="s">
        <v>881</v>
      </c>
      <c r="CT2102" s="213" t="s">
        <v>5681</v>
      </c>
      <c r="CU2102" s="213" t="s">
        <v>883</v>
      </c>
      <c r="CV2102" s="214" t="s">
        <v>884</v>
      </c>
      <c r="CX2102" s="212">
        <v>1</v>
      </c>
    </row>
    <row r="2103" spans="91:102" ht="21" customHeight="1">
      <c r="CM2103" s="210"/>
      <c r="CN2103" s="213" t="s">
        <v>5698</v>
      </c>
      <c r="CO2103" s="213" t="s">
        <v>900</v>
      </c>
      <c r="CP2103" s="213" t="s">
        <v>1543</v>
      </c>
      <c r="CQ2103" s="213" t="s">
        <v>5699</v>
      </c>
      <c r="CR2103" s="213" t="s">
        <v>5700</v>
      </c>
      <c r="CS2103" s="213" t="s">
        <v>881</v>
      </c>
      <c r="CT2103" s="213" t="s">
        <v>5681</v>
      </c>
      <c r="CU2103" s="213" t="s">
        <v>883</v>
      </c>
      <c r="CV2103" s="214" t="s">
        <v>884</v>
      </c>
      <c r="CX2103" s="212">
        <v>1</v>
      </c>
    </row>
    <row r="2104" spans="91:102" ht="21" customHeight="1">
      <c r="CM2104" s="210"/>
      <c r="CN2104" s="213" t="s">
        <v>5701</v>
      </c>
      <c r="CO2104" s="213" t="s">
        <v>900</v>
      </c>
      <c r="CP2104" s="213" t="s">
        <v>1543</v>
      </c>
      <c r="CQ2104" s="213" t="s">
        <v>5702</v>
      </c>
      <c r="CR2104" s="213" t="s">
        <v>5703</v>
      </c>
      <c r="CS2104" s="213" t="s">
        <v>881</v>
      </c>
      <c r="CT2104" s="213" t="s">
        <v>5681</v>
      </c>
      <c r="CU2104" s="213" t="s">
        <v>883</v>
      </c>
      <c r="CV2104" s="214" t="s">
        <v>884</v>
      </c>
      <c r="CX2104" s="212">
        <v>1</v>
      </c>
    </row>
    <row r="2105" spans="91:102" ht="21" customHeight="1">
      <c r="CM2105" s="210"/>
      <c r="CN2105" s="213" t="s">
        <v>5704</v>
      </c>
      <c r="CO2105" s="213" t="s">
        <v>900</v>
      </c>
      <c r="CP2105" s="213" t="s">
        <v>1543</v>
      </c>
      <c r="CQ2105" s="213" t="s">
        <v>5705</v>
      </c>
      <c r="CR2105" s="213" t="s">
        <v>5705</v>
      </c>
      <c r="CS2105" s="213" t="s">
        <v>881</v>
      </c>
      <c r="CT2105" s="213" t="s">
        <v>5681</v>
      </c>
      <c r="CU2105" s="213" t="s">
        <v>883</v>
      </c>
      <c r="CV2105" s="214" t="s">
        <v>884</v>
      </c>
      <c r="CX2105" s="212">
        <v>1</v>
      </c>
    </row>
    <row r="2106" spans="91:102" ht="21" customHeight="1">
      <c r="CM2106" s="210"/>
      <c r="CN2106" s="213" t="s">
        <v>5706</v>
      </c>
      <c r="CO2106" s="213" t="s">
        <v>900</v>
      </c>
      <c r="CP2106" s="213" t="s">
        <v>1543</v>
      </c>
      <c r="CQ2106" s="213" t="s">
        <v>5707</v>
      </c>
      <c r="CR2106" s="213" t="s">
        <v>5707</v>
      </c>
      <c r="CS2106" s="213" t="s">
        <v>881</v>
      </c>
      <c r="CT2106" s="213" t="s">
        <v>5681</v>
      </c>
      <c r="CU2106" s="213" t="s">
        <v>883</v>
      </c>
      <c r="CV2106" s="214" t="s">
        <v>884</v>
      </c>
      <c r="CX2106" s="212">
        <v>1</v>
      </c>
    </row>
    <row r="2107" spans="91:102" ht="21" customHeight="1">
      <c r="CM2107" s="210"/>
      <c r="CN2107" s="213" t="s">
        <v>5708</v>
      </c>
      <c r="CO2107" s="213" t="s">
        <v>900</v>
      </c>
      <c r="CP2107" s="213" t="s">
        <v>1543</v>
      </c>
      <c r="CQ2107" s="213" t="s">
        <v>5709</v>
      </c>
      <c r="CR2107" s="213" t="s">
        <v>5709</v>
      </c>
      <c r="CS2107" s="213" t="s">
        <v>881</v>
      </c>
      <c r="CT2107" s="213" t="s">
        <v>5681</v>
      </c>
      <c r="CU2107" s="213" t="s">
        <v>883</v>
      </c>
      <c r="CV2107" s="214" t="s">
        <v>884</v>
      </c>
      <c r="CX2107" s="212">
        <v>1</v>
      </c>
    </row>
    <row r="2108" spans="91:102" ht="21" customHeight="1">
      <c r="CM2108" s="210"/>
      <c r="CN2108" s="213" t="s">
        <v>5710</v>
      </c>
      <c r="CO2108" s="213" t="s">
        <v>900</v>
      </c>
      <c r="CP2108" s="213" t="s">
        <v>1543</v>
      </c>
      <c r="CQ2108" s="213" t="s">
        <v>5711</v>
      </c>
      <c r="CR2108" s="213" t="s">
        <v>5711</v>
      </c>
      <c r="CS2108" s="213" t="s">
        <v>881</v>
      </c>
      <c r="CT2108" s="213" t="s">
        <v>5681</v>
      </c>
      <c r="CU2108" s="213" t="s">
        <v>883</v>
      </c>
      <c r="CV2108" s="214" t="s">
        <v>884</v>
      </c>
      <c r="CX2108" s="212">
        <v>1</v>
      </c>
    </row>
    <row r="2109" spans="91:102" ht="21" customHeight="1">
      <c r="CM2109" s="210"/>
      <c r="CN2109" s="213" t="s">
        <v>5712</v>
      </c>
      <c r="CO2109" s="213" t="s">
        <v>900</v>
      </c>
      <c r="CP2109" s="213" t="s">
        <v>1543</v>
      </c>
      <c r="CQ2109" s="213" t="s">
        <v>5713</v>
      </c>
      <c r="CR2109" s="213" t="s">
        <v>5713</v>
      </c>
      <c r="CS2109" s="213" t="s">
        <v>971</v>
      </c>
      <c r="CT2109" s="213" t="s">
        <v>1552</v>
      </c>
      <c r="CU2109" s="213" t="s">
        <v>883</v>
      </c>
      <c r="CV2109" s="214" t="s">
        <v>973</v>
      </c>
      <c r="CX2109" s="212">
        <v>1</v>
      </c>
    </row>
    <row r="2110" spans="91:102" ht="21" customHeight="1">
      <c r="CM2110" s="210"/>
      <c r="CN2110" s="213" t="s">
        <v>5714</v>
      </c>
      <c r="CO2110" s="213" t="s">
        <v>900</v>
      </c>
      <c r="CP2110" s="213" t="s">
        <v>1543</v>
      </c>
      <c r="CQ2110" s="213" t="s">
        <v>5715</v>
      </c>
      <c r="CR2110" s="213" t="s">
        <v>5715</v>
      </c>
      <c r="CS2110" s="213" t="s">
        <v>971</v>
      </c>
      <c r="CT2110" s="213" t="s">
        <v>1552</v>
      </c>
      <c r="CU2110" s="213" t="s">
        <v>883</v>
      </c>
      <c r="CV2110" s="214" t="s">
        <v>973</v>
      </c>
      <c r="CX2110" s="212">
        <v>1</v>
      </c>
    </row>
    <row r="2111" spans="91:102" ht="21" customHeight="1">
      <c r="CM2111" s="210"/>
      <c r="CN2111" s="213" t="s">
        <v>5716</v>
      </c>
      <c r="CO2111" s="213" t="s">
        <v>900</v>
      </c>
      <c r="CP2111" s="213" t="s">
        <v>1543</v>
      </c>
      <c r="CQ2111" s="213" t="s">
        <v>5717</v>
      </c>
      <c r="CR2111" s="213" t="s">
        <v>5718</v>
      </c>
      <c r="CS2111" s="213" t="s">
        <v>881</v>
      </c>
      <c r="CT2111" s="213" t="s">
        <v>5681</v>
      </c>
      <c r="CU2111" s="213" t="s">
        <v>883</v>
      </c>
      <c r="CV2111" s="214" t="s">
        <v>884</v>
      </c>
      <c r="CX2111" s="212">
        <v>1</v>
      </c>
    </row>
    <row r="2112" spans="91:102" ht="21" customHeight="1">
      <c r="CM2112" s="210"/>
      <c r="CN2112" s="213" t="s">
        <v>5719</v>
      </c>
      <c r="CO2112" s="213" t="s">
        <v>900</v>
      </c>
      <c r="CP2112" s="213" t="s">
        <v>1543</v>
      </c>
      <c r="CQ2112" s="213" t="s">
        <v>5720</v>
      </c>
      <c r="CR2112" s="213" t="s">
        <v>5721</v>
      </c>
      <c r="CS2112" s="213" t="s">
        <v>881</v>
      </c>
      <c r="CT2112" s="213" t="s">
        <v>5722</v>
      </c>
      <c r="CU2112" s="213" t="s">
        <v>1150</v>
      </c>
      <c r="CV2112" s="214" t="s">
        <v>973</v>
      </c>
      <c r="CX2112" s="212">
        <v>1</v>
      </c>
    </row>
    <row r="2113" spans="91:102" ht="21" customHeight="1">
      <c r="CM2113" s="210"/>
      <c r="CN2113" s="213" t="s">
        <v>5723</v>
      </c>
      <c r="CO2113" s="213" t="s">
        <v>900</v>
      </c>
      <c r="CP2113" s="213" t="s">
        <v>1543</v>
      </c>
      <c r="CQ2113" s="213" t="s">
        <v>5724</v>
      </c>
      <c r="CR2113" s="213" t="s">
        <v>5725</v>
      </c>
      <c r="CS2113" s="213" t="s">
        <v>881</v>
      </c>
      <c r="CT2113" s="213" t="s">
        <v>5681</v>
      </c>
      <c r="CU2113" s="213" t="s">
        <v>883</v>
      </c>
      <c r="CV2113" s="214" t="s">
        <v>884</v>
      </c>
      <c r="CX2113" s="212">
        <v>1</v>
      </c>
    </row>
    <row r="2114" spans="91:102" ht="21" customHeight="1">
      <c r="CM2114" s="210"/>
      <c r="CN2114" s="213" t="s">
        <v>5726</v>
      </c>
      <c r="CO2114" s="213" t="s">
        <v>900</v>
      </c>
      <c r="CP2114" s="213" t="s">
        <v>1543</v>
      </c>
      <c r="CQ2114" s="213" t="s">
        <v>5727</v>
      </c>
      <c r="CR2114" s="213" t="s">
        <v>5727</v>
      </c>
      <c r="CS2114" s="213" t="s">
        <v>881</v>
      </c>
      <c r="CT2114" s="213" t="s">
        <v>5681</v>
      </c>
      <c r="CU2114" s="213" t="s">
        <v>883</v>
      </c>
      <c r="CV2114" s="214" t="s">
        <v>884</v>
      </c>
      <c r="CX2114" s="212">
        <v>1</v>
      </c>
    </row>
    <row r="2115" spans="91:102" ht="21" customHeight="1">
      <c r="CM2115" s="210"/>
      <c r="CN2115" s="213" t="s">
        <v>5728</v>
      </c>
      <c r="CO2115" s="213" t="s">
        <v>900</v>
      </c>
      <c r="CP2115" s="213" t="s">
        <v>1543</v>
      </c>
      <c r="CQ2115" s="213" t="s">
        <v>5729</v>
      </c>
      <c r="CR2115" s="213" t="s">
        <v>5730</v>
      </c>
      <c r="CS2115" s="213" t="s">
        <v>881</v>
      </c>
      <c r="CT2115" s="213" t="s">
        <v>5681</v>
      </c>
      <c r="CU2115" s="213" t="s">
        <v>883</v>
      </c>
      <c r="CV2115" s="214" t="s">
        <v>884</v>
      </c>
      <c r="CX2115" s="212">
        <v>1</v>
      </c>
    </row>
    <row r="2116" spans="91:102" ht="21" customHeight="1">
      <c r="CM2116" s="210"/>
      <c r="CN2116" s="213" t="s">
        <v>5731</v>
      </c>
      <c r="CO2116" s="213" t="s">
        <v>900</v>
      </c>
      <c r="CP2116" s="213" t="s">
        <v>1543</v>
      </c>
      <c r="CQ2116" s="213" t="s">
        <v>5732</v>
      </c>
      <c r="CR2116" s="213" t="s">
        <v>5732</v>
      </c>
      <c r="CS2116" s="213" t="s">
        <v>881</v>
      </c>
      <c r="CT2116" s="213" t="s">
        <v>5681</v>
      </c>
      <c r="CU2116" s="213" t="s">
        <v>883</v>
      </c>
      <c r="CV2116" s="214" t="s">
        <v>884</v>
      </c>
      <c r="CX2116" s="212">
        <v>1</v>
      </c>
    </row>
    <row r="2117" spans="91:102" ht="21" customHeight="1">
      <c r="CM2117" s="210"/>
      <c r="CN2117" s="213" t="s">
        <v>5733</v>
      </c>
      <c r="CO2117" s="213" t="s">
        <v>900</v>
      </c>
      <c r="CP2117" s="213" t="s">
        <v>1543</v>
      </c>
      <c r="CQ2117" s="213" t="s">
        <v>5734</v>
      </c>
      <c r="CR2117" s="213" t="s">
        <v>5734</v>
      </c>
      <c r="CS2117" s="213" t="s">
        <v>881</v>
      </c>
      <c r="CT2117" s="213" t="s">
        <v>5681</v>
      </c>
      <c r="CU2117" s="213" t="s">
        <v>883</v>
      </c>
      <c r="CV2117" s="214" t="s">
        <v>884</v>
      </c>
      <c r="CX2117" s="212">
        <v>1</v>
      </c>
    </row>
    <row r="2118" spans="91:102" ht="21" customHeight="1">
      <c r="CM2118" s="210"/>
      <c r="CN2118" s="213" t="s">
        <v>5735</v>
      </c>
      <c r="CO2118" s="213" t="s">
        <v>900</v>
      </c>
      <c r="CP2118" s="213" t="s">
        <v>1543</v>
      </c>
      <c r="CQ2118" s="213" t="s">
        <v>5736</v>
      </c>
      <c r="CR2118" s="213" t="s">
        <v>5737</v>
      </c>
      <c r="CS2118" s="213" t="s">
        <v>881</v>
      </c>
      <c r="CT2118" s="213" t="s">
        <v>5681</v>
      </c>
      <c r="CU2118" s="213" t="s">
        <v>883</v>
      </c>
      <c r="CV2118" s="214" t="s">
        <v>884</v>
      </c>
      <c r="CX2118" s="212">
        <v>1</v>
      </c>
    </row>
    <row r="2119" spans="91:102" ht="21" customHeight="1">
      <c r="CM2119" s="210"/>
      <c r="CN2119" s="213" t="s">
        <v>5738</v>
      </c>
      <c r="CO2119" s="213" t="s">
        <v>900</v>
      </c>
      <c r="CP2119" s="213" t="s">
        <v>1543</v>
      </c>
      <c r="CQ2119" s="213" t="s">
        <v>5739</v>
      </c>
      <c r="CR2119" s="213" t="s">
        <v>5739</v>
      </c>
      <c r="CS2119" s="213" t="s">
        <v>881</v>
      </c>
      <c r="CT2119" s="213" t="s">
        <v>5681</v>
      </c>
      <c r="CU2119" s="213" t="s">
        <v>883</v>
      </c>
      <c r="CV2119" s="214" t="s">
        <v>884</v>
      </c>
      <c r="CX2119" s="212">
        <v>1</v>
      </c>
    </row>
    <row r="2120" spans="91:102" ht="21" customHeight="1">
      <c r="CM2120" s="210"/>
      <c r="CN2120" s="213" t="s">
        <v>5740</v>
      </c>
      <c r="CO2120" s="213" t="s">
        <v>900</v>
      </c>
      <c r="CP2120" s="213" t="s">
        <v>1543</v>
      </c>
      <c r="CQ2120" s="213" t="s">
        <v>5741</v>
      </c>
      <c r="CR2120" s="213" t="s">
        <v>5741</v>
      </c>
      <c r="CS2120" s="213" t="s">
        <v>971</v>
      </c>
      <c r="CT2120" s="213" t="s">
        <v>1552</v>
      </c>
      <c r="CU2120" s="213" t="s">
        <v>883</v>
      </c>
      <c r="CV2120" s="214" t="s">
        <v>973</v>
      </c>
      <c r="CX2120" s="212">
        <v>1</v>
      </c>
    </row>
    <row r="2121" spans="91:102" ht="21" customHeight="1">
      <c r="CM2121" s="210"/>
      <c r="CN2121" s="213" t="s">
        <v>5742</v>
      </c>
      <c r="CO2121" s="213" t="s">
        <v>900</v>
      </c>
      <c r="CP2121" s="213" t="s">
        <v>1543</v>
      </c>
      <c r="CQ2121" s="213" t="s">
        <v>5743</v>
      </c>
      <c r="CR2121" s="213" t="s">
        <v>5743</v>
      </c>
      <c r="CS2121" s="213" t="s">
        <v>881</v>
      </c>
      <c r="CT2121" s="213" t="s">
        <v>5681</v>
      </c>
      <c r="CU2121" s="213" t="s">
        <v>883</v>
      </c>
      <c r="CV2121" s="214" t="s">
        <v>884</v>
      </c>
      <c r="CX2121" s="212">
        <v>1</v>
      </c>
    </row>
    <row r="2122" spans="91:102" ht="21" customHeight="1">
      <c r="CM2122" s="210"/>
      <c r="CN2122" s="213" t="s">
        <v>5744</v>
      </c>
      <c r="CO2122" s="213" t="s">
        <v>900</v>
      </c>
      <c r="CP2122" s="213" t="s">
        <v>1543</v>
      </c>
      <c r="CQ2122" s="213" t="s">
        <v>5745</v>
      </c>
      <c r="CR2122" s="213" t="s">
        <v>5745</v>
      </c>
      <c r="CS2122" s="213" t="s">
        <v>881</v>
      </c>
      <c r="CT2122" s="213" t="s">
        <v>5681</v>
      </c>
      <c r="CU2122" s="213" t="s">
        <v>883</v>
      </c>
      <c r="CV2122" s="214" t="s">
        <v>884</v>
      </c>
      <c r="CX2122" s="212">
        <v>1</v>
      </c>
    </row>
    <row r="2123" spans="91:102" ht="21" customHeight="1">
      <c r="CM2123" s="210"/>
      <c r="CN2123" s="213" t="s">
        <v>5746</v>
      </c>
      <c r="CO2123" s="213" t="s">
        <v>900</v>
      </c>
      <c r="CP2123" s="213" t="s">
        <v>1543</v>
      </c>
      <c r="CQ2123" s="213" t="s">
        <v>5747</v>
      </c>
      <c r="CR2123" s="213" t="s">
        <v>5747</v>
      </c>
      <c r="CS2123" s="213" t="s">
        <v>971</v>
      </c>
      <c r="CT2123" s="213" t="s">
        <v>1552</v>
      </c>
      <c r="CU2123" s="213" t="s">
        <v>883</v>
      </c>
      <c r="CV2123" s="214" t="s">
        <v>973</v>
      </c>
      <c r="CX2123" s="212">
        <v>1</v>
      </c>
    </row>
    <row r="2124" spans="91:102" ht="21" customHeight="1">
      <c r="CM2124" s="210"/>
      <c r="CN2124" s="213" t="s">
        <v>5748</v>
      </c>
      <c r="CO2124" s="213" t="s">
        <v>900</v>
      </c>
      <c r="CP2124" s="213" t="s">
        <v>1543</v>
      </c>
      <c r="CQ2124" s="213" t="s">
        <v>5749</v>
      </c>
      <c r="CR2124" s="213" t="s">
        <v>5749</v>
      </c>
      <c r="CS2124" s="213" t="s">
        <v>881</v>
      </c>
      <c r="CT2124" s="213" t="s">
        <v>5681</v>
      </c>
      <c r="CU2124" s="213" t="s">
        <v>883</v>
      </c>
      <c r="CV2124" s="214" t="s">
        <v>884</v>
      </c>
      <c r="CX2124" s="212">
        <v>1</v>
      </c>
    </row>
    <row r="2125" spans="91:102" ht="21" customHeight="1">
      <c r="CM2125" s="210"/>
      <c r="CN2125" s="213" t="s">
        <v>5750</v>
      </c>
      <c r="CO2125" s="213" t="s">
        <v>900</v>
      </c>
      <c r="CP2125" s="213" t="s">
        <v>1543</v>
      </c>
      <c r="CQ2125" s="213" t="s">
        <v>5751</v>
      </c>
      <c r="CR2125" s="213" t="s">
        <v>5751</v>
      </c>
      <c r="CS2125" s="213" t="s">
        <v>881</v>
      </c>
      <c r="CT2125" s="213" t="s">
        <v>5681</v>
      </c>
      <c r="CU2125" s="213" t="s">
        <v>883</v>
      </c>
      <c r="CV2125" s="214" t="s">
        <v>884</v>
      </c>
      <c r="CX2125" s="212">
        <v>1</v>
      </c>
    </row>
    <row r="2126" spans="91:102" ht="21" customHeight="1">
      <c r="CM2126" s="210"/>
      <c r="CN2126" s="213" t="s">
        <v>5752</v>
      </c>
      <c r="CO2126" s="213" t="s">
        <v>900</v>
      </c>
      <c r="CP2126" s="213" t="s">
        <v>1543</v>
      </c>
      <c r="CQ2126" s="213" t="s">
        <v>5753</v>
      </c>
      <c r="CR2126" s="213" t="s">
        <v>5753</v>
      </c>
      <c r="CS2126" s="213" t="s">
        <v>881</v>
      </c>
      <c r="CT2126" s="213" t="s">
        <v>5681</v>
      </c>
      <c r="CU2126" s="213" t="s">
        <v>883</v>
      </c>
      <c r="CV2126" s="214" t="s">
        <v>884</v>
      </c>
      <c r="CX2126" s="212">
        <v>1</v>
      </c>
    </row>
    <row r="2127" spans="91:102" ht="21" customHeight="1">
      <c r="CM2127" s="210"/>
      <c r="CN2127" s="213" t="s">
        <v>5754</v>
      </c>
      <c r="CO2127" s="213" t="s">
        <v>900</v>
      </c>
      <c r="CP2127" s="213" t="s">
        <v>1543</v>
      </c>
      <c r="CQ2127" s="213" t="s">
        <v>5755</v>
      </c>
      <c r="CR2127" s="213" t="s">
        <v>5756</v>
      </c>
      <c r="CS2127" s="213" t="s">
        <v>881</v>
      </c>
      <c r="CT2127" s="213" t="s">
        <v>5681</v>
      </c>
      <c r="CU2127" s="213" t="s">
        <v>883</v>
      </c>
      <c r="CV2127" s="214" t="s">
        <v>884</v>
      </c>
      <c r="CX2127" s="212">
        <v>1</v>
      </c>
    </row>
    <row r="2128" spans="91:102" ht="21" customHeight="1">
      <c r="CM2128" s="210"/>
      <c r="CN2128" s="213" t="s">
        <v>5757</v>
      </c>
      <c r="CO2128" s="213" t="s">
        <v>900</v>
      </c>
      <c r="CP2128" s="213" t="s">
        <v>1543</v>
      </c>
      <c r="CQ2128" s="213" t="s">
        <v>5758</v>
      </c>
      <c r="CR2128" s="213" t="s">
        <v>5758</v>
      </c>
      <c r="CS2128" s="213" t="s">
        <v>881</v>
      </c>
      <c r="CT2128" s="213" t="s">
        <v>5681</v>
      </c>
      <c r="CU2128" s="213" t="s">
        <v>883</v>
      </c>
      <c r="CV2128" s="214" t="s">
        <v>884</v>
      </c>
      <c r="CX2128" s="212">
        <v>1</v>
      </c>
    </row>
    <row r="2129" spans="91:102" ht="21" customHeight="1">
      <c r="CM2129" s="210"/>
      <c r="CN2129" s="213" t="s">
        <v>5759</v>
      </c>
      <c r="CO2129" s="213" t="s">
        <v>900</v>
      </c>
      <c r="CP2129" s="213" t="s">
        <v>1543</v>
      </c>
      <c r="CQ2129" s="213" t="s">
        <v>5760</v>
      </c>
      <c r="CR2129" s="213" t="s">
        <v>5760</v>
      </c>
      <c r="CS2129" s="213" t="s">
        <v>881</v>
      </c>
      <c r="CT2129" s="213" t="s">
        <v>5681</v>
      </c>
      <c r="CU2129" s="213" t="s">
        <v>883</v>
      </c>
      <c r="CV2129" s="214" t="s">
        <v>884</v>
      </c>
      <c r="CX2129" s="212">
        <v>1</v>
      </c>
    </row>
    <row r="2130" spans="91:102" ht="21" customHeight="1">
      <c r="CM2130" s="210"/>
      <c r="CN2130" s="213" t="s">
        <v>5761</v>
      </c>
      <c r="CO2130" s="213" t="s">
        <v>900</v>
      </c>
      <c r="CP2130" s="213" t="s">
        <v>1543</v>
      </c>
      <c r="CQ2130" s="213" t="s">
        <v>5762</v>
      </c>
      <c r="CR2130" s="213" t="s">
        <v>5762</v>
      </c>
      <c r="CS2130" s="213" t="s">
        <v>881</v>
      </c>
      <c r="CT2130" s="213" t="s">
        <v>5681</v>
      </c>
      <c r="CU2130" s="213" t="s">
        <v>883</v>
      </c>
      <c r="CV2130" s="214" t="s">
        <v>884</v>
      </c>
      <c r="CX2130" s="212">
        <v>1</v>
      </c>
    </row>
    <row r="2131" spans="91:102" ht="21" customHeight="1">
      <c r="CM2131" s="210"/>
      <c r="CN2131" s="213" t="s">
        <v>5763</v>
      </c>
      <c r="CO2131" s="213" t="s">
        <v>900</v>
      </c>
      <c r="CP2131" s="213" t="s">
        <v>879</v>
      </c>
      <c r="CQ2131" s="213" t="s">
        <v>5764</v>
      </c>
      <c r="CR2131" s="213" t="s">
        <v>5764</v>
      </c>
      <c r="CS2131" s="213" t="s">
        <v>881</v>
      </c>
      <c r="CT2131" s="213" t="s">
        <v>5765</v>
      </c>
      <c r="CU2131" s="213" t="s">
        <v>883</v>
      </c>
      <c r="CV2131" s="214" t="s">
        <v>884</v>
      </c>
      <c r="CX2131" s="212">
        <v>1</v>
      </c>
    </row>
    <row r="2132" spans="91:102" ht="21" customHeight="1">
      <c r="CM2132" s="210"/>
      <c r="CN2132" s="213" t="s">
        <v>5766</v>
      </c>
      <c r="CO2132" s="213" t="s">
        <v>900</v>
      </c>
      <c r="CP2132" s="213" t="s">
        <v>1543</v>
      </c>
      <c r="CQ2132" s="213" t="s">
        <v>5767</v>
      </c>
      <c r="CR2132" s="213" t="s">
        <v>5767</v>
      </c>
      <c r="CS2132" s="213" t="s">
        <v>971</v>
      </c>
      <c r="CT2132" s="213" t="s">
        <v>1552</v>
      </c>
      <c r="CU2132" s="213" t="s">
        <v>883</v>
      </c>
      <c r="CV2132" s="214" t="s">
        <v>973</v>
      </c>
      <c r="CX2132" s="212">
        <v>1</v>
      </c>
    </row>
    <row r="2133" spans="91:102" ht="21" customHeight="1">
      <c r="CM2133" s="210"/>
      <c r="CN2133" s="213" t="s">
        <v>5768</v>
      </c>
      <c r="CO2133" s="213" t="s">
        <v>900</v>
      </c>
      <c r="CP2133" s="213" t="s">
        <v>1543</v>
      </c>
      <c r="CQ2133" s="213" t="s">
        <v>5769</v>
      </c>
      <c r="CR2133" s="213" t="s">
        <v>5770</v>
      </c>
      <c r="CS2133" s="213" t="s">
        <v>881</v>
      </c>
      <c r="CT2133" s="213" t="s">
        <v>5681</v>
      </c>
      <c r="CU2133" s="213" t="s">
        <v>883</v>
      </c>
      <c r="CV2133" s="214" t="s">
        <v>884</v>
      </c>
      <c r="CX2133" s="212">
        <v>1</v>
      </c>
    </row>
    <row r="2134" spans="91:102" ht="21" customHeight="1">
      <c r="CM2134" s="210"/>
      <c r="CN2134" s="213" t="s">
        <v>5771</v>
      </c>
      <c r="CO2134" s="213" t="s">
        <v>857</v>
      </c>
      <c r="CP2134" s="213" t="s">
        <v>879</v>
      </c>
      <c r="CQ2134" s="213" t="s">
        <v>1456</v>
      </c>
      <c r="CR2134" s="213" t="s">
        <v>1456</v>
      </c>
      <c r="CS2134" s="213" t="s">
        <v>881</v>
      </c>
      <c r="CT2134" s="213" t="s">
        <v>5772</v>
      </c>
      <c r="CU2134" s="213" t="s">
        <v>883</v>
      </c>
      <c r="CV2134" s="214" t="s">
        <v>884</v>
      </c>
      <c r="CX2134" s="212">
        <v>1</v>
      </c>
    </row>
    <row r="2135" spans="91:102" ht="21" customHeight="1">
      <c r="CM2135" s="210"/>
      <c r="CN2135" s="213" t="s">
        <v>5773</v>
      </c>
      <c r="CO2135" s="213" t="s">
        <v>857</v>
      </c>
      <c r="CP2135" s="213" t="s">
        <v>879</v>
      </c>
      <c r="CQ2135" s="213" t="s">
        <v>5774</v>
      </c>
      <c r="CR2135" s="213" t="s">
        <v>5774</v>
      </c>
      <c r="CS2135" s="213" t="s">
        <v>881</v>
      </c>
      <c r="CT2135" s="213" t="s">
        <v>5772</v>
      </c>
      <c r="CU2135" s="213" t="s">
        <v>883</v>
      </c>
      <c r="CV2135" s="214" t="s">
        <v>884</v>
      </c>
      <c r="CX2135" s="212">
        <v>1</v>
      </c>
    </row>
    <row r="2136" spans="91:102" ht="21" customHeight="1">
      <c r="CM2136" s="210"/>
      <c r="CN2136" s="213" t="s">
        <v>5775</v>
      </c>
      <c r="CO2136" s="213" t="s">
        <v>857</v>
      </c>
      <c r="CP2136" s="213" t="s">
        <v>879</v>
      </c>
      <c r="CQ2136" s="213" t="s">
        <v>5776</v>
      </c>
      <c r="CR2136" s="213" t="s">
        <v>5776</v>
      </c>
      <c r="CS2136" s="213" t="s">
        <v>881</v>
      </c>
      <c r="CT2136" s="213" t="s">
        <v>5772</v>
      </c>
      <c r="CU2136" s="213" t="s">
        <v>883</v>
      </c>
      <c r="CV2136" s="214" t="s">
        <v>884</v>
      </c>
      <c r="CX2136" s="212">
        <v>1</v>
      </c>
    </row>
    <row r="2137" spans="91:102" ht="21" customHeight="1">
      <c r="CM2137" s="210"/>
      <c r="CN2137" s="213" t="s">
        <v>5777</v>
      </c>
      <c r="CO2137" s="213" t="s">
        <v>857</v>
      </c>
      <c r="CP2137" s="213" t="s">
        <v>879</v>
      </c>
      <c r="CQ2137" s="213" t="s">
        <v>5778</v>
      </c>
      <c r="CR2137" s="213" t="s">
        <v>5778</v>
      </c>
      <c r="CS2137" s="213" t="s">
        <v>881</v>
      </c>
      <c r="CT2137" s="213" t="s">
        <v>5772</v>
      </c>
      <c r="CU2137" s="213" t="s">
        <v>883</v>
      </c>
      <c r="CV2137" s="214" t="s">
        <v>884</v>
      </c>
      <c r="CX2137" s="212">
        <v>1</v>
      </c>
    </row>
    <row r="2138" spans="91:102" ht="21" customHeight="1">
      <c r="CM2138" s="210"/>
      <c r="CN2138" s="213" t="s">
        <v>5779</v>
      </c>
      <c r="CO2138" s="213" t="s">
        <v>857</v>
      </c>
      <c r="CP2138" s="213" t="s">
        <v>879</v>
      </c>
      <c r="CQ2138" s="213" t="s">
        <v>5780</v>
      </c>
      <c r="CR2138" s="213" t="s">
        <v>5780</v>
      </c>
      <c r="CS2138" s="213" t="s">
        <v>881</v>
      </c>
      <c r="CT2138" s="213" t="s">
        <v>5772</v>
      </c>
      <c r="CU2138" s="213" t="s">
        <v>883</v>
      </c>
      <c r="CV2138" s="214" t="s">
        <v>884</v>
      </c>
      <c r="CX2138" s="212">
        <v>1</v>
      </c>
    </row>
    <row r="2139" spans="91:102" ht="21" customHeight="1">
      <c r="CM2139" s="210"/>
      <c r="CN2139" s="213" t="s">
        <v>5781</v>
      </c>
      <c r="CO2139" s="213" t="s">
        <v>857</v>
      </c>
      <c r="CP2139" s="213" t="s">
        <v>879</v>
      </c>
      <c r="CQ2139" s="213" t="s">
        <v>5782</v>
      </c>
      <c r="CR2139" s="213" t="s">
        <v>5782</v>
      </c>
      <c r="CS2139" s="213" t="s">
        <v>881</v>
      </c>
      <c r="CT2139" s="213" t="s">
        <v>5772</v>
      </c>
      <c r="CU2139" s="213" t="s">
        <v>883</v>
      </c>
      <c r="CV2139" s="214" t="s">
        <v>884</v>
      </c>
      <c r="CX2139" s="212">
        <v>1</v>
      </c>
    </row>
    <row r="2140" spans="91:102" ht="21" customHeight="1">
      <c r="CM2140" s="210"/>
      <c r="CN2140" s="213" t="s">
        <v>5783</v>
      </c>
      <c r="CO2140" s="213" t="s">
        <v>857</v>
      </c>
      <c r="CP2140" s="213" t="s">
        <v>879</v>
      </c>
      <c r="CQ2140" s="213" t="s">
        <v>5784</v>
      </c>
      <c r="CR2140" s="213" t="s">
        <v>5784</v>
      </c>
      <c r="CS2140" s="213" t="s">
        <v>971</v>
      </c>
      <c r="CT2140" s="213" t="s">
        <v>972</v>
      </c>
      <c r="CU2140" s="213" t="s">
        <v>883</v>
      </c>
      <c r="CV2140" s="214" t="s">
        <v>973</v>
      </c>
      <c r="CX2140" s="212">
        <v>1</v>
      </c>
    </row>
    <row r="2141" spans="91:102" ht="21" customHeight="1">
      <c r="CM2141" s="210"/>
      <c r="CN2141" s="213" t="s">
        <v>5785</v>
      </c>
      <c r="CO2141" s="213" t="s">
        <v>857</v>
      </c>
      <c r="CP2141" s="213" t="s">
        <v>879</v>
      </c>
      <c r="CQ2141" s="213" t="s">
        <v>5786</v>
      </c>
      <c r="CR2141" s="213" t="s">
        <v>5786</v>
      </c>
      <c r="CS2141" s="213" t="s">
        <v>971</v>
      </c>
      <c r="CT2141" s="213" t="s">
        <v>972</v>
      </c>
      <c r="CU2141" s="213" t="s">
        <v>883</v>
      </c>
      <c r="CV2141" s="214" t="s">
        <v>973</v>
      </c>
      <c r="CX2141" s="212">
        <v>1</v>
      </c>
    </row>
    <row r="2142" spans="91:102" ht="21" customHeight="1">
      <c r="CM2142" s="210"/>
      <c r="CN2142" s="213" t="s">
        <v>5787</v>
      </c>
      <c r="CO2142" s="213" t="s">
        <v>857</v>
      </c>
      <c r="CP2142" s="213" t="s">
        <v>879</v>
      </c>
      <c r="CQ2142" s="213" t="s">
        <v>5788</v>
      </c>
      <c r="CR2142" s="213" t="s">
        <v>5788</v>
      </c>
      <c r="CS2142" s="213" t="s">
        <v>881</v>
      </c>
      <c r="CT2142" s="213" t="s">
        <v>5772</v>
      </c>
      <c r="CU2142" s="213" t="s">
        <v>883</v>
      </c>
      <c r="CV2142" s="214" t="s">
        <v>884</v>
      </c>
      <c r="CX2142" s="212">
        <v>1</v>
      </c>
    </row>
    <row r="2143" spans="91:102" ht="21" customHeight="1">
      <c r="CM2143" s="210"/>
      <c r="CN2143" s="213" t="s">
        <v>5789</v>
      </c>
      <c r="CO2143" s="213" t="s">
        <v>857</v>
      </c>
      <c r="CP2143" s="213" t="s">
        <v>879</v>
      </c>
      <c r="CQ2143" s="213" t="s">
        <v>5790</v>
      </c>
      <c r="CR2143" s="213" t="s">
        <v>5791</v>
      </c>
      <c r="CS2143" s="213" t="s">
        <v>881</v>
      </c>
      <c r="CT2143" s="213" t="s">
        <v>5772</v>
      </c>
      <c r="CU2143" s="213" t="s">
        <v>883</v>
      </c>
      <c r="CV2143" s="214" t="s">
        <v>884</v>
      </c>
      <c r="CX2143" s="212">
        <v>1</v>
      </c>
    </row>
    <row r="2144" spans="91:102" ht="21" customHeight="1">
      <c r="CM2144" s="210"/>
      <c r="CN2144" s="213" t="s">
        <v>5792</v>
      </c>
      <c r="CO2144" s="213" t="s">
        <v>857</v>
      </c>
      <c r="CP2144" s="213" t="s">
        <v>879</v>
      </c>
      <c r="CQ2144" s="213" t="s">
        <v>5793</v>
      </c>
      <c r="CR2144" s="213" t="s">
        <v>5794</v>
      </c>
      <c r="CS2144" s="213" t="s">
        <v>881</v>
      </c>
      <c r="CT2144" s="213" t="s">
        <v>5772</v>
      </c>
      <c r="CU2144" s="213" t="s">
        <v>883</v>
      </c>
      <c r="CV2144" s="214" t="s">
        <v>884</v>
      </c>
      <c r="CX2144" s="212">
        <v>1</v>
      </c>
    </row>
    <row r="2145" spans="91:102" ht="21" customHeight="1">
      <c r="CM2145" s="210"/>
      <c r="CN2145" s="213" t="s">
        <v>5795</v>
      </c>
      <c r="CO2145" s="213" t="s">
        <v>857</v>
      </c>
      <c r="CP2145" s="213" t="s">
        <v>879</v>
      </c>
      <c r="CQ2145" s="213" t="s">
        <v>5796</v>
      </c>
      <c r="CR2145" s="213" t="s">
        <v>5796</v>
      </c>
      <c r="CS2145" s="213" t="s">
        <v>881</v>
      </c>
      <c r="CT2145" s="213" t="s">
        <v>5772</v>
      </c>
      <c r="CU2145" s="213" t="s">
        <v>883</v>
      </c>
      <c r="CV2145" s="214" t="s">
        <v>884</v>
      </c>
      <c r="CX2145" s="212">
        <v>1</v>
      </c>
    </row>
    <row r="2146" spans="91:102" ht="21" customHeight="1">
      <c r="CM2146" s="210"/>
      <c r="CN2146" s="213" t="s">
        <v>5797</v>
      </c>
      <c r="CO2146" s="213" t="s">
        <v>857</v>
      </c>
      <c r="CP2146" s="213" t="s">
        <v>879</v>
      </c>
      <c r="CQ2146" s="213" t="s">
        <v>5798</v>
      </c>
      <c r="CR2146" s="213" t="s">
        <v>5798</v>
      </c>
      <c r="CS2146" s="213" t="s">
        <v>881</v>
      </c>
      <c r="CT2146" s="213" t="s">
        <v>5772</v>
      </c>
      <c r="CU2146" s="213" t="s">
        <v>883</v>
      </c>
      <c r="CV2146" s="214" t="s">
        <v>884</v>
      </c>
      <c r="CX2146" s="212">
        <v>1</v>
      </c>
    </row>
    <row r="2147" spans="91:102" ht="21" customHeight="1">
      <c r="CM2147" s="210"/>
      <c r="CN2147" s="213" t="s">
        <v>5799</v>
      </c>
      <c r="CO2147" s="213" t="s">
        <v>857</v>
      </c>
      <c r="CP2147" s="213" t="s">
        <v>1543</v>
      </c>
      <c r="CQ2147" s="213" t="s">
        <v>1444</v>
      </c>
      <c r="CR2147" s="213" t="s">
        <v>1444</v>
      </c>
      <c r="CS2147" s="213" t="s">
        <v>881</v>
      </c>
      <c r="CT2147" s="213" t="s">
        <v>5800</v>
      </c>
      <c r="CU2147" s="213" t="s">
        <v>883</v>
      </c>
      <c r="CV2147" s="214" t="s">
        <v>884</v>
      </c>
      <c r="CX2147" s="212">
        <v>1</v>
      </c>
    </row>
    <row r="2148" spans="91:102" ht="21" customHeight="1">
      <c r="CM2148" s="210"/>
      <c r="CN2148" s="213" t="s">
        <v>5801</v>
      </c>
      <c r="CO2148" s="213" t="s">
        <v>857</v>
      </c>
      <c r="CP2148" s="213" t="s">
        <v>1543</v>
      </c>
      <c r="CQ2148" s="213" t="s">
        <v>1516</v>
      </c>
      <c r="CR2148" s="213" t="s">
        <v>1516</v>
      </c>
      <c r="CS2148" s="213" t="s">
        <v>881</v>
      </c>
      <c r="CT2148" s="213" t="s">
        <v>5800</v>
      </c>
      <c r="CU2148" s="213" t="s">
        <v>883</v>
      </c>
      <c r="CV2148" s="214" t="s">
        <v>884</v>
      </c>
      <c r="CX2148" s="212">
        <v>1</v>
      </c>
    </row>
    <row r="2149" spans="91:102" ht="21" customHeight="1">
      <c r="CM2149" s="210"/>
      <c r="CN2149" s="213" t="s">
        <v>5802</v>
      </c>
      <c r="CO2149" s="213" t="s">
        <v>857</v>
      </c>
      <c r="CP2149" s="213" t="s">
        <v>1543</v>
      </c>
      <c r="CQ2149" s="213" t="s">
        <v>1525</v>
      </c>
      <c r="CR2149" s="213" t="s">
        <v>1526</v>
      </c>
      <c r="CS2149" s="213" t="s">
        <v>881</v>
      </c>
      <c r="CT2149" s="213" t="s">
        <v>5800</v>
      </c>
      <c r="CU2149" s="213" t="s">
        <v>883</v>
      </c>
      <c r="CV2149" s="214" t="s">
        <v>884</v>
      </c>
      <c r="CX2149" s="212">
        <v>1</v>
      </c>
    </row>
    <row r="2150" spans="91:102" ht="21" customHeight="1">
      <c r="CM2150" s="210"/>
      <c r="CN2150" s="213" t="s">
        <v>5803</v>
      </c>
      <c r="CO2150" s="213" t="s">
        <v>857</v>
      </c>
      <c r="CP2150" s="213" t="s">
        <v>1543</v>
      </c>
      <c r="CQ2150" s="213" t="s">
        <v>5804</v>
      </c>
      <c r="CR2150" s="213" t="s">
        <v>5805</v>
      </c>
      <c r="CS2150" s="213" t="s">
        <v>881</v>
      </c>
      <c r="CT2150" s="213" t="s">
        <v>5800</v>
      </c>
      <c r="CU2150" s="213" t="s">
        <v>883</v>
      </c>
      <c r="CV2150" s="214" t="s">
        <v>884</v>
      </c>
      <c r="CX2150" s="212">
        <v>1</v>
      </c>
    </row>
    <row r="2151" spans="91:102" ht="21" customHeight="1">
      <c r="CM2151" s="210"/>
      <c r="CN2151" s="213" t="s">
        <v>5806</v>
      </c>
      <c r="CO2151" s="213" t="s">
        <v>857</v>
      </c>
      <c r="CP2151" s="213" t="s">
        <v>1543</v>
      </c>
      <c r="CQ2151" s="213" t="s">
        <v>4275</v>
      </c>
      <c r="CR2151" s="213" t="s">
        <v>4276</v>
      </c>
      <c r="CS2151" s="213" t="s">
        <v>881</v>
      </c>
      <c r="CT2151" s="213" t="s">
        <v>5800</v>
      </c>
      <c r="CU2151" s="213" t="s">
        <v>883</v>
      </c>
      <c r="CV2151" s="214" t="s">
        <v>884</v>
      </c>
      <c r="CX2151" s="212">
        <v>1</v>
      </c>
    </row>
    <row r="2152" spans="91:102" ht="21" customHeight="1">
      <c r="CM2152" s="210"/>
      <c r="CN2152" s="213" t="s">
        <v>5807</v>
      </c>
      <c r="CO2152" s="213" t="s">
        <v>857</v>
      </c>
      <c r="CP2152" s="213" t="s">
        <v>1543</v>
      </c>
      <c r="CQ2152" s="213" t="s">
        <v>5808</v>
      </c>
      <c r="CR2152" s="213" t="s">
        <v>5809</v>
      </c>
      <c r="CS2152" s="213" t="s">
        <v>881</v>
      </c>
      <c r="CT2152" s="213" t="s">
        <v>5800</v>
      </c>
      <c r="CU2152" s="213" t="s">
        <v>883</v>
      </c>
      <c r="CV2152" s="214" t="s">
        <v>884</v>
      </c>
      <c r="CX2152" s="212">
        <v>1</v>
      </c>
    </row>
    <row r="2153" spans="91:102" ht="21" customHeight="1">
      <c r="CM2153" s="210"/>
      <c r="CN2153" s="213" t="s">
        <v>5810</v>
      </c>
      <c r="CO2153" s="213" t="s">
        <v>875</v>
      </c>
      <c r="CP2153" s="213" t="s">
        <v>879</v>
      </c>
      <c r="CQ2153" s="213" t="s">
        <v>5811</v>
      </c>
      <c r="CR2153" s="213" t="s">
        <v>5811</v>
      </c>
      <c r="CS2153" s="213" t="s">
        <v>1620</v>
      </c>
      <c r="CT2153" s="213" t="s">
        <v>1621</v>
      </c>
      <c r="CU2153" s="213" t="s">
        <v>1622</v>
      </c>
      <c r="CV2153" s="214" t="s">
        <v>5812</v>
      </c>
      <c r="CX2153" s="212">
        <v>1</v>
      </c>
    </row>
    <row r="2154" spans="91:102" ht="21" customHeight="1">
      <c r="CM2154" s="210"/>
      <c r="CN2154" s="213" t="s">
        <v>5813</v>
      </c>
      <c r="CO2154" s="213" t="s">
        <v>875</v>
      </c>
      <c r="CP2154" s="213" t="s">
        <v>879</v>
      </c>
      <c r="CQ2154" s="213" t="s">
        <v>5814</v>
      </c>
      <c r="CR2154" s="213" t="s">
        <v>5814</v>
      </c>
      <c r="CS2154" s="213" t="s">
        <v>1620</v>
      </c>
      <c r="CT2154" s="213" t="s">
        <v>1621</v>
      </c>
      <c r="CU2154" s="213" t="s">
        <v>1622</v>
      </c>
      <c r="CV2154" s="214" t="s">
        <v>5812</v>
      </c>
      <c r="CX2154" s="212">
        <v>1</v>
      </c>
    </row>
    <row r="2155" spans="91:102" ht="21" customHeight="1">
      <c r="CM2155" s="210"/>
      <c r="CN2155" s="213" t="s">
        <v>5815</v>
      </c>
      <c r="CO2155" s="213" t="s">
        <v>875</v>
      </c>
      <c r="CP2155" s="213" t="s">
        <v>879</v>
      </c>
      <c r="CQ2155" s="213" t="s">
        <v>5816</v>
      </c>
      <c r="CR2155" s="213" t="s">
        <v>5816</v>
      </c>
      <c r="CS2155" s="213" t="s">
        <v>1620</v>
      </c>
      <c r="CT2155" s="213" t="s">
        <v>1621</v>
      </c>
      <c r="CU2155" s="213" t="s">
        <v>1622</v>
      </c>
      <c r="CV2155" s="214" t="s">
        <v>5812</v>
      </c>
      <c r="CX2155" s="212">
        <v>1</v>
      </c>
    </row>
    <row r="2156" spans="91:102" ht="21" customHeight="1">
      <c r="CM2156" s="210"/>
      <c r="CN2156" s="213" t="s">
        <v>5817</v>
      </c>
      <c r="CO2156" s="213" t="s">
        <v>875</v>
      </c>
      <c r="CP2156" s="213" t="s">
        <v>879</v>
      </c>
      <c r="CQ2156" s="213" t="s">
        <v>5341</v>
      </c>
      <c r="CR2156" s="213" t="s">
        <v>5341</v>
      </c>
      <c r="CS2156" s="213" t="s">
        <v>1620</v>
      </c>
      <c r="CT2156" s="213" t="s">
        <v>1621</v>
      </c>
      <c r="CU2156" s="213" t="s">
        <v>1622</v>
      </c>
      <c r="CV2156" s="214" t="s">
        <v>5812</v>
      </c>
      <c r="CX2156" s="212">
        <v>1</v>
      </c>
    </row>
    <row r="2157" spans="91:102" ht="21" customHeight="1">
      <c r="CM2157" s="210"/>
      <c r="CN2157" s="213" t="s">
        <v>5818</v>
      </c>
      <c r="CO2157" s="213" t="s">
        <v>875</v>
      </c>
      <c r="CP2157" s="213" t="s">
        <v>879</v>
      </c>
      <c r="CQ2157" s="213" t="s">
        <v>5819</v>
      </c>
      <c r="CR2157" s="213" t="s">
        <v>5819</v>
      </c>
      <c r="CS2157" s="213" t="s">
        <v>1620</v>
      </c>
      <c r="CT2157" s="213" t="s">
        <v>1621</v>
      </c>
      <c r="CU2157" s="213" t="s">
        <v>1622</v>
      </c>
      <c r="CV2157" s="214" t="s">
        <v>5812</v>
      </c>
      <c r="CX2157" s="212">
        <v>1</v>
      </c>
    </row>
    <row r="2158" spans="91:102" ht="21" customHeight="1">
      <c r="CM2158" s="210"/>
      <c r="CN2158" s="213" t="s">
        <v>5820</v>
      </c>
      <c r="CO2158" s="213" t="s">
        <v>875</v>
      </c>
      <c r="CP2158" s="213" t="s">
        <v>879</v>
      </c>
      <c r="CQ2158" s="213" t="s">
        <v>5343</v>
      </c>
      <c r="CR2158" s="213" t="s">
        <v>5343</v>
      </c>
      <c r="CS2158" s="213" t="s">
        <v>971</v>
      </c>
      <c r="CT2158" s="213" t="s">
        <v>5821</v>
      </c>
      <c r="CU2158" s="213" t="s">
        <v>883</v>
      </c>
      <c r="CV2158" s="214" t="s">
        <v>973</v>
      </c>
      <c r="CX2158" s="212">
        <v>1</v>
      </c>
    </row>
    <row r="2159" spans="91:102" ht="21" customHeight="1">
      <c r="CM2159" s="210"/>
      <c r="CN2159" s="213" t="s">
        <v>5822</v>
      </c>
      <c r="CO2159" s="213" t="s">
        <v>875</v>
      </c>
      <c r="CP2159" s="213" t="s">
        <v>879</v>
      </c>
      <c r="CQ2159" s="213" t="s">
        <v>5823</v>
      </c>
      <c r="CR2159" s="213" t="s">
        <v>5823</v>
      </c>
      <c r="CS2159" s="213" t="s">
        <v>1620</v>
      </c>
      <c r="CT2159" s="213" t="s">
        <v>1621</v>
      </c>
      <c r="CU2159" s="213" t="s">
        <v>1622</v>
      </c>
      <c r="CV2159" s="214" t="s">
        <v>5812</v>
      </c>
      <c r="CX2159" s="212">
        <v>1</v>
      </c>
    </row>
    <row r="2160" spans="91:102" ht="21" customHeight="1">
      <c r="CM2160" s="210"/>
      <c r="CN2160" s="213" t="s">
        <v>5824</v>
      </c>
      <c r="CO2160" s="213" t="s">
        <v>875</v>
      </c>
      <c r="CP2160" s="213" t="s">
        <v>879</v>
      </c>
      <c r="CQ2160" s="213" t="s">
        <v>5825</v>
      </c>
      <c r="CR2160" s="213" t="s">
        <v>5825</v>
      </c>
      <c r="CS2160" s="213" t="s">
        <v>1620</v>
      </c>
      <c r="CT2160" s="213" t="s">
        <v>1621</v>
      </c>
      <c r="CU2160" s="213" t="s">
        <v>1622</v>
      </c>
      <c r="CV2160" s="214" t="s">
        <v>5812</v>
      </c>
      <c r="CX2160" s="212">
        <v>1</v>
      </c>
    </row>
    <row r="2161" spans="91:102" ht="21" customHeight="1">
      <c r="CM2161" s="210"/>
      <c r="CN2161" s="213" t="s">
        <v>5826</v>
      </c>
      <c r="CO2161" s="213" t="s">
        <v>875</v>
      </c>
      <c r="CP2161" s="213" t="s">
        <v>879</v>
      </c>
      <c r="CQ2161" s="213" t="s">
        <v>5827</v>
      </c>
      <c r="CR2161" s="213" t="s">
        <v>5827</v>
      </c>
      <c r="CS2161" s="213" t="s">
        <v>1620</v>
      </c>
      <c r="CT2161" s="213" t="s">
        <v>1621</v>
      </c>
      <c r="CU2161" s="213" t="s">
        <v>1622</v>
      </c>
      <c r="CV2161" s="214" t="s">
        <v>5812</v>
      </c>
      <c r="CX2161" s="212">
        <v>1</v>
      </c>
    </row>
    <row r="2162" spans="91:102" ht="21" customHeight="1">
      <c r="CM2162" s="210"/>
      <c r="CN2162" s="213" t="s">
        <v>5828</v>
      </c>
      <c r="CO2162" s="213" t="s">
        <v>875</v>
      </c>
      <c r="CP2162" s="213" t="s">
        <v>879</v>
      </c>
      <c r="CQ2162" s="213" t="s">
        <v>5829</v>
      </c>
      <c r="CR2162" s="213" t="s">
        <v>5829</v>
      </c>
      <c r="CS2162" s="213" t="s">
        <v>1620</v>
      </c>
      <c r="CT2162" s="213" t="s">
        <v>1621</v>
      </c>
      <c r="CU2162" s="213" t="s">
        <v>1622</v>
      </c>
      <c r="CV2162" s="214" t="s">
        <v>5812</v>
      </c>
      <c r="CX2162" s="212">
        <v>1</v>
      </c>
    </row>
    <row r="2163" spans="91:102" ht="21" customHeight="1">
      <c r="CM2163" s="210"/>
      <c r="CN2163" s="213" t="s">
        <v>5830</v>
      </c>
      <c r="CO2163" s="213" t="s">
        <v>875</v>
      </c>
      <c r="CP2163" s="213" t="s">
        <v>879</v>
      </c>
      <c r="CQ2163" s="213" t="s">
        <v>5831</v>
      </c>
      <c r="CR2163" s="213" t="s">
        <v>5831</v>
      </c>
      <c r="CS2163" s="213" t="s">
        <v>1620</v>
      </c>
      <c r="CT2163" s="213" t="s">
        <v>1621</v>
      </c>
      <c r="CU2163" s="213" t="s">
        <v>1622</v>
      </c>
      <c r="CV2163" s="214" t="s">
        <v>5812</v>
      </c>
      <c r="CX2163" s="212">
        <v>1</v>
      </c>
    </row>
    <row r="2164" spans="91:102" ht="21" customHeight="1">
      <c r="CM2164" s="210"/>
      <c r="CN2164" s="213" t="s">
        <v>5832</v>
      </c>
      <c r="CO2164" s="213" t="s">
        <v>875</v>
      </c>
      <c r="CP2164" s="213" t="s">
        <v>879</v>
      </c>
      <c r="CQ2164" s="213" t="s">
        <v>5833</v>
      </c>
      <c r="CR2164" s="213" t="s">
        <v>5833</v>
      </c>
      <c r="CS2164" s="213" t="s">
        <v>1620</v>
      </c>
      <c r="CT2164" s="213" t="s">
        <v>1621</v>
      </c>
      <c r="CU2164" s="213" t="s">
        <v>1622</v>
      </c>
      <c r="CV2164" s="214" t="s">
        <v>5812</v>
      </c>
      <c r="CX2164" s="212">
        <v>1</v>
      </c>
    </row>
    <row r="2165" spans="91:102" ht="21" customHeight="1">
      <c r="CM2165" s="210"/>
      <c r="CN2165" s="213" t="s">
        <v>5834</v>
      </c>
      <c r="CO2165" s="213" t="s">
        <v>875</v>
      </c>
      <c r="CP2165" s="213" t="s">
        <v>879</v>
      </c>
      <c r="CQ2165" s="213" t="s">
        <v>5835</v>
      </c>
      <c r="CR2165" s="213" t="s">
        <v>5835</v>
      </c>
      <c r="CS2165" s="213" t="s">
        <v>1620</v>
      </c>
      <c r="CT2165" s="213" t="s">
        <v>1621</v>
      </c>
      <c r="CU2165" s="213" t="s">
        <v>1622</v>
      </c>
      <c r="CV2165" s="214" t="s">
        <v>5812</v>
      </c>
      <c r="CX2165" s="212">
        <v>1</v>
      </c>
    </row>
    <row r="2166" spans="91:102" ht="21" customHeight="1">
      <c r="CM2166" s="210"/>
      <c r="CN2166" s="213" t="s">
        <v>5836</v>
      </c>
      <c r="CO2166" s="213" t="s">
        <v>875</v>
      </c>
      <c r="CP2166" s="213" t="s">
        <v>879</v>
      </c>
      <c r="CQ2166" s="213" t="s">
        <v>5837</v>
      </c>
      <c r="CR2166" s="213" t="s">
        <v>5837</v>
      </c>
      <c r="CS2166" s="213" t="s">
        <v>1620</v>
      </c>
      <c r="CT2166" s="213" t="s">
        <v>1621</v>
      </c>
      <c r="CU2166" s="213" t="s">
        <v>1622</v>
      </c>
      <c r="CV2166" s="214" t="s">
        <v>5812</v>
      </c>
      <c r="CX2166" s="212">
        <v>1</v>
      </c>
    </row>
    <row r="2167" spans="91:102" ht="21" customHeight="1">
      <c r="CM2167" s="210"/>
      <c r="CN2167" s="213" t="s">
        <v>5838</v>
      </c>
      <c r="CO2167" s="213" t="s">
        <v>875</v>
      </c>
      <c r="CP2167" s="213" t="s">
        <v>879</v>
      </c>
      <c r="CQ2167" s="213" t="s">
        <v>5839</v>
      </c>
      <c r="CR2167" s="213" t="s">
        <v>5839</v>
      </c>
      <c r="CS2167" s="213" t="s">
        <v>881</v>
      </c>
      <c r="CT2167" s="213" t="s">
        <v>5840</v>
      </c>
      <c r="CU2167" s="213" t="s">
        <v>883</v>
      </c>
      <c r="CV2167" s="214" t="s">
        <v>884</v>
      </c>
      <c r="CX2167" s="212">
        <v>1</v>
      </c>
    </row>
    <row r="2168" spans="91:102" ht="21" customHeight="1">
      <c r="CM2168" s="210"/>
      <c r="CN2168" s="213" t="s">
        <v>5841</v>
      </c>
      <c r="CO2168" s="213" t="s">
        <v>875</v>
      </c>
      <c r="CP2168" s="213" t="s">
        <v>879</v>
      </c>
      <c r="CQ2168" s="213" t="s">
        <v>5842</v>
      </c>
      <c r="CR2168" s="213" t="s">
        <v>5842</v>
      </c>
      <c r="CS2168" s="213" t="s">
        <v>1620</v>
      </c>
      <c r="CT2168" s="213" t="s">
        <v>1621</v>
      </c>
      <c r="CU2168" s="213" t="s">
        <v>1622</v>
      </c>
      <c r="CV2168" s="214" t="s">
        <v>5812</v>
      </c>
      <c r="CX2168" s="212">
        <v>1</v>
      </c>
    </row>
    <row r="2169" spans="91:102" ht="21" customHeight="1">
      <c r="CM2169" s="210"/>
      <c r="CN2169" s="213" t="s">
        <v>5843</v>
      </c>
      <c r="CO2169" s="213" t="s">
        <v>875</v>
      </c>
      <c r="CP2169" s="213" t="s">
        <v>879</v>
      </c>
      <c r="CQ2169" s="213" t="s">
        <v>5844</v>
      </c>
      <c r="CR2169" s="213" t="s">
        <v>5844</v>
      </c>
      <c r="CS2169" s="213" t="s">
        <v>1620</v>
      </c>
      <c r="CT2169" s="213" t="s">
        <v>1621</v>
      </c>
      <c r="CU2169" s="213" t="s">
        <v>1622</v>
      </c>
      <c r="CV2169" s="214" t="s">
        <v>5812</v>
      </c>
      <c r="CX2169" s="212">
        <v>1</v>
      </c>
    </row>
    <row r="2170" spans="91:102" ht="21" customHeight="1">
      <c r="CM2170" s="210"/>
      <c r="CN2170" s="213" t="s">
        <v>5845</v>
      </c>
      <c r="CO2170" s="213" t="s">
        <v>875</v>
      </c>
      <c r="CP2170" s="213" t="s">
        <v>879</v>
      </c>
      <c r="CQ2170" s="213" t="s">
        <v>5846</v>
      </c>
      <c r="CR2170" s="213" t="s">
        <v>5846</v>
      </c>
      <c r="CS2170" s="213" t="s">
        <v>881</v>
      </c>
      <c r="CT2170" s="213" t="s">
        <v>5840</v>
      </c>
      <c r="CU2170" s="213" t="s">
        <v>883</v>
      </c>
      <c r="CV2170" s="214" t="s">
        <v>884</v>
      </c>
      <c r="CX2170" s="212">
        <v>1</v>
      </c>
    </row>
    <row r="2171" spans="91:102" ht="21" customHeight="1">
      <c r="CM2171" s="210"/>
      <c r="CN2171" s="213" t="s">
        <v>5847</v>
      </c>
      <c r="CO2171" s="213" t="s">
        <v>875</v>
      </c>
      <c r="CP2171" s="213" t="s">
        <v>879</v>
      </c>
      <c r="CQ2171" s="213" t="s">
        <v>5848</v>
      </c>
      <c r="CR2171" s="213" t="s">
        <v>5848</v>
      </c>
      <c r="CS2171" s="213" t="s">
        <v>1620</v>
      </c>
      <c r="CT2171" s="213" t="s">
        <v>1621</v>
      </c>
      <c r="CU2171" s="213" t="s">
        <v>1622</v>
      </c>
      <c r="CV2171" s="214" t="s">
        <v>5812</v>
      </c>
      <c r="CX2171" s="212">
        <v>1</v>
      </c>
    </row>
    <row r="2172" spans="91:102" ht="21" customHeight="1">
      <c r="CM2172" s="210"/>
      <c r="CN2172" s="213" t="s">
        <v>5849</v>
      </c>
      <c r="CO2172" s="213" t="s">
        <v>875</v>
      </c>
      <c r="CP2172" s="213" t="s">
        <v>879</v>
      </c>
      <c r="CQ2172" s="213" t="s">
        <v>5850</v>
      </c>
      <c r="CR2172" s="213" t="s">
        <v>5850</v>
      </c>
      <c r="CS2172" s="213" t="s">
        <v>1620</v>
      </c>
      <c r="CT2172" s="213" t="s">
        <v>1621</v>
      </c>
      <c r="CU2172" s="213" t="s">
        <v>1622</v>
      </c>
      <c r="CV2172" s="214" t="s">
        <v>5812</v>
      </c>
      <c r="CX2172" s="212">
        <v>1</v>
      </c>
    </row>
    <row r="2173" spans="91:102" ht="21" customHeight="1">
      <c r="CM2173" s="210"/>
      <c r="CN2173" s="213" t="s">
        <v>5851</v>
      </c>
      <c r="CO2173" s="213" t="s">
        <v>875</v>
      </c>
      <c r="CP2173" s="213" t="s">
        <v>879</v>
      </c>
      <c r="CQ2173" s="213" t="s">
        <v>5852</v>
      </c>
      <c r="CR2173" s="213" t="s">
        <v>5852</v>
      </c>
      <c r="CS2173" s="213" t="s">
        <v>881</v>
      </c>
      <c r="CT2173" s="213" t="s">
        <v>5840</v>
      </c>
      <c r="CU2173" s="213" t="s">
        <v>883</v>
      </c>
      <c r="CV2173" s="214" t="s">
        <v>884</v>
      </c>
      <c r="CX2173" s="212">
        <v>1</v>
      </c>
    </row>
    <row r="2174" spans="91:102" ht="21" customHeight="1">
      <c r="CM2174" s="210"/>
      <c r="CN2174" s="213" t="s">
        <v>5853</v>
      </c>
      <c r="CO2174" s="213" t="s">
        <v>875</v>
      </c>
      <c r="CP2174" s="213" t="s">
        <v>879</v>
      </c>
      <c r="CQ2174" s="213" t="s">
        <v>5854</v>
      </c>
      <c r="CR2174" s="213" t="s">
        <v>5854</v>
      </c>
      <c r="CS2174" s="213" t="s">
        <v>1620</v>
      </c>
      <c r="CT2174" s="213" t="s">
        <v>1621</v>
      </c>
      <c r="CU2174" s="213" t="s">
        <v>1622</v>
      </c>
      <c r="CV2174" s="214" t="s">
        <v>5812</v>
      </c>
      <c r="CX2174" s="212">
        <v>1</v>
      </c>
    </row>
    <row r="2175" spans="91:102" ht="21" customHeight="1">
      <c r="CM2175" s="210"/>
      <c r="CN2175" s="213" t="s">
        <v>5855</v>
      </c>
      <c r="CO2175" s="213" t="s">
        <v>875</v>
      </c>
      <c r="CP2175" s="213" t="s">
        <v>879</v>
      </c>
      <c r="CQ2175" s="213" t="s">
        <v>5856</v>
      </c>
      <c r="CR2175" s="213" t="s">
        <v>5856</v>
      </c>
      <c r="CS2175" s="213" t="s">
        <v>1620</v>
      </c>
      <c r="CT2175" s="213" t="s">
        <v>1621</v>
      </c>
      <c r="CU2175" s="213" t="s">
        <v>1622</v>
      </c>
      <c r="CV2175" s="214" t="s">
        <v>5812</v>
      </c>
      <c r="CX2175" s="212">
        <v>1</v>
      </c>
    </row>
    <row r="2176" spans="91:102" ht="21" customHeight="1">
      <c r="CM2176" s="210"/>
      <c r="CN2176" s="213" t="s">
        <v>5857</v>
      </c>
      <c r="CO2176" s="213" t="s">
        <v>875</v>
      </c>
      <c r="CP2176" s="213" t="s">
        <v>879</v>
      </c>
      <c r="CQ2176" s="213" t="s">
        <v>5858</v>
      </c>
      <c r="CR2176" s="213" t="s">
        <v>5858</v>
      </c>
      <c r="CS2176" s="213" t="s">
        <v>881</v>
      </c>
      <c r="CT2176" s="213" t="s">
        <v>5840</v>
      </c>
      <c r="CU2176" s="213" t="s">
        <v>883</v>
      </c>
      <c r="CV2176" s="214" t="s">
        <v>884</v>
      </c>
      <c r="CX2176" s="212">
        <v>1</v>
      </c>
    </row>
    <row r="2177" spans="91:102" ht="21" customHeight="1">
      <c r="CM2177" s="210"/>
      <c r="CN2177" s="213" t="s">
        <v>5859</v>
      </c>
      <c r="CO2177" s="213" t="s">
        <v>875</v>
      </c>
      <c r="CP2177" s="213" t="s">
        <v>879</v>
      </c>
      <c r="CQ2177" s="213" t="s">
        <v>5860</v>
      </c>
      <c r="CR2177" s="213" t="s">
        <v>5860</v>
      </c>
      <c r="CS2177" s="213" t="s">
        <v>1620</v>
      </c>
      <c r="CT2177" s="213" t="s">
        <v>1621</v>
      </c>
      <c r="CU2177" s="213" t="s">
        <v>1622</v>
      </c>
      <c r="CV2177" s="214" t="s">
        <v>5812</v>
      </c>
      <c r="CX2177" s="212">
        <v>1</v>
      </c>
    </row>
    <row r="2178" spans="91:102" ht="21" customHeight="1">
      <c r="CM2178" s="210"/>
      <c r="CN2178" s="213" t="s">
        <v>5861</v>
      </c>
      <c r="CO2178" s="213" t="s">
        <v>875</v>
      </c>
      <c r="CP2178" s="213" t="s">
        <v>879</v>
      </c>
      <c r="CQ2178" s="213" t="s">
        <v>5862</v>
      </c>
      <c r="CR2178" s="213" t="s">
        <v>5862</v>
      </c>
      <c r="CS2178" s="213" t="s">
        <v>1620</v>
      </c>
      <c r="CT2178" s="213" t="s">
        <v>1621</v>
      </c>
      <c r="CU2178" s="213" t="s">
        <v>1622</v>
      </c>
      <c r="CV2178" s="214" t="s">
        <v>5812</v>
      </c>
      <c r="CX2178" s="212">
        <v>1</v>
      </c>
    </row>
    <row r="2179" spans="91:102" ht="21" customHeight="1">
      <c r="CM2179" s="210"/>
      <c r="CN2179" s="213" t="s">
        <v>5863</v>
      </c>
      <c r="CO2179" s="213" t="s">
        <v>875</v>
      </c>
      <c r="CP2179" s="213" t="s">
        <v>879</v>
      </c>
      <c r="CQ2179" s="213" t="s">
        <v>5864</v>
      </c>
      <c r="CR2179" s="213" t="s">
        <v>5864</v>
      </c>
      <c r="CS2179" s="213" t="s">
        <v>1620</v>
      </c>
      <c r="CT2179" s="213" t="s">
        <v>1621</v>
      </c>
      <c r="CU2179" s="213" t="s">
        <v>1622</v>
      </c>
      <c r="CV2179" s="214" t="s">
        <v>5812</v>
      </c>
      <c r="CX2179" s="212">
        <v>1</v>
      </c>
    </row>
    <row r="2180" spans="91:102" ht="21" customHeight="1">
      <c r="CM2180" s="210"/>
      <c r="CN2180" s="213" t="s">
        <v>5865</v>
      </c>
      <c r="CO2180" s="213" t="s">
        <v>875</v>
      </c>
      <c r="CP2180" s="213" t="s">
        <v>879</v>
      </c>
      <c r="CQ2180" s="213" t="s">
        <v>5866</v>
      </c>
      <c r="CR2180" s="213" t="s">
        <v>5866</v>
      </c>
      <c r="CS2180" s="213" t="s">
        <v>1620</v>
      </c>
      <c r="CT2180" s="213" t="s">
        <v>1621</v>
      </c>
      <c r="CU2180" s="213" t="s">
        <v>1622</v>
      </c>
      <c r="CV2180" s="214" t="s">
        <v>5812</v>
      </c>
      <c r="CX2180" s="212">
        <v>1</v>
      </c>
    </row>
    <row r="2181" spans="91:102" ht="21" customHeight="1">
      <c r="CM2181" s="210"/>
      <c r="CN2181" s="213" t="s">
        <v>5867</v>
      </c>
      <c r="CO2181" s="213" t="s">
        <v>875</v>
      </c>
      <c r="CP2181" s="213" t="s">
        <v>879</v>
      </c>
      <c r="CQ2181" s="213" t="s">
        <v>5868</v>
      </c>
      <c r="CR2181" s="213" t="s">
        <v>5868</v>
      </c>
      <c r="CS2181" s="213" t="s">
        <v>1620</v>
      </c>
      <c r="CT2181" s="213" t="s">
        <v>1621</v>
      </c>
      <c r="CU2181" s="213" t="s">
        <v>1622</v>
      </c>
      <c r="CV2181" s="214" t="s">
        <v>5812</v>
      </c>
      <c r="CX2181" s="212">
        <v>1</v>
      </c>
    </row>
    <row r="2182" spans="91:102" ht="21" customHeight="1">
      <c r="CM2182" s="210"/>
      <c r="CN2182" s="213" t="s">
        <v>5869</v>
      </c>
      <c r="CO2182" s="213" t="s">
        <v>875</v>
      </c>
      <c r="CP2182" s="213" t="s">
        <v>879</v>
      </c>
      <c r="CQ2182" s="213" t="s">
        <v>5870</v>
      </c>
      <c r="CR2182" s="213" t="s">
        <v>5870</v>
      </c>
      <c r="CS2182" s="213" t="s">
        <v>1620</v>
      </c>
      <c r="CT2182" s="213" t="s">
        <v>1621</v>
      </c>
      <c r="CU2182" s="213" t="s">
        <v>1622</v>
      </c>
      <c r="CV2182" s="214" t="s">
        <v>5812</v>
      </c>
      <c r="CX2182" s="212">
        <v>1</v>
      </c>
    </row>
    <row r="2183" spans="91:102" ht="21" customHeight="1">
      <c r="CM2183" s="210"/>
      <c r="CN2183" s="213" t="s">
        <v>5871</v>
      </c>
      <c r="CO2183" s="213" t="s">
        <v>875</v>
      </c>
      <c r="CP2183" s="213" t="s">
        <v>879</v>
      </c>
      <c r="CQ2183" s="213" t="s">
        <v>5872</v>
      </c>
      <c r="CR2183" s="213" t="s">
        <v>5872</v>
      </c>
      <c r="CS2183" s="213" t="s">
        <v>1620</v>
      </c>
      <c r="CT2183" s="213" t="s">
        <v>1621</v>
      </c>
      <c r="CU2183" s="213" t="s">
        <v>1622</v>
      </c>
      <c r="CV2183" s="214" t="s">
        <v>5812</v>
      </c>
      <c r="CX2183" s="212">
        <v>1</v>
      </c>
    </row>
    <row r="2184" spans="91:102" ht="21" customHeight="1">
      <c r="CM2184" s="210"/>
      <c r="CN2184" s="213" t="s">
        <v>5873</v>
      </c>
      <c r="CO2184" s="213" t="s">
        <v>875</v>
      </c>
      <c r="CP2184" s="213" t="s">
        <v>879</v>
      </c>
      <c r="CQ2184" s="213" t="s">
        <v>5874</v>
      </c>
      <c r="CR2184" s="213" t="s">
        <v>5874</v>
      </c>
      <c r="CS2184" s="213" t="s">
        <v>1620</v>
      </c>
      <c r="CT2184" s="213" t="s">
        <v>1621</v>
      </c>
      <c r="CU2184" s="213" t="s">
        <v>1622</v>
      </c>
      <c r="CV2184" s="214" t="s">
        <v>5812</v>
      </c>
      <c r="CX2184" s="212">
        <v>1</v>
      </c>
    </row>
    <row r="2185" spans="91:102" ht="21" customHeight="1">
      <c r="CM2185" s="210"/>
      <c r="CN2185" s="213" t="s">
        <v>5875</v>
      </c>
      <c r="CO2185" s="213" t="s">
        <v>875</v>
      </c>
      <c r="CP2185" s="213" t="s">
        <v>879</v>
      </c>
      <c r="CQ2185" s="213" t="s">
        <v>5876</v>
      </c>
      <c r="CR2185" s="213" t="s">
        <v>5876</v>
      </c>
      <c r="CS2185" s="213" t="s">
        <v>1620</v>
      </c>
      <c r="CT2185" s="213" t="s">
        <v>1621</v>
      </c>
      <c r="CU2185" s="213" t="s">
        <v>1622</v>
      </c>
      <c r="CV2185" s="214" t="s">
        <v>5812</v>
      </c>
      <c r="CX2185" s="212">
        <v>1</v>
      </c>
    </row>
    <row r="2186" spans="91:102" ht="21" customHeight="1">
      <c r="CM2186" s="210"/>
      <c r="CN2186" s="213" t="s">
        <v>5877</v>
      </c>
      <c r="CO2186" s="213" t="s">
        <v>875</v>
      </c>
      <c r="CP2186" s="213" t="s">
        <v>879</v>
      </c>
      <c r="CQ2186" s="213" t="s">
        <v>5878</v>
      </c>
      <c r="CR2186" s="213" t="s">
        <v>5878</v>
      </c>
      <c r="CS2186" s="213" t="s">
        <v>1620</v>
      </c>
      <c r="CT2186" s="213" t="s">
        <v>1621</v>
      </c>
      <c r="CU2186" s="213" t="s">
        <v>1622</v>
      </c>
      <c r="CV2186" s="214" t="s">
        <v>5812</v>
      </c>
      <c r="CX2186" s="212">
        <v>1</v>
      </c>
    </row>
    <row r="2187" spans="91:102" ht="21" customHeight="1">
      <c r="CM2187" s="210"/>
      <c r="CN2187" s="213" t="s">
        <v>5879</v>
      </c>
      <c r="CO2187" s="213" t="s">
        <v>875</v>
      </c>
      <c r="CP2187" s="213" t="s">
        <v>879</v>
      </c>
      <c r="CQ2187" s="213" t="s">
        <v>5880</v>
      </c>
      <c r="CR2187" s="213" t="s">
        <v>5880</v>
      </c>
      <c r="CS2187" s="213" t="s">
        <v>1620</v>
      </c>
      <c r="CT2187" s="213" t="s">
        <v>1621</v>
      </c>
      <c r="CU2187" s="213" t="s">
        <v>1622</v>
      </c>
      <c r="CV2187" s="214" t="s">
        <v>5812</v>
      </c>
      <c r="CX2187" s="212">
        <v>1</v>
      </c>
    </row>
    <row r="2188" spans="91:102" ht="21" customHeight="1">
      <c r="CM2188" s="210"/>
      <c r="CN2188" s="213" t="s">
        <v>5881</v>
      </c>
      <c r="CO2188" s="213" t="s">
        <v>875</v>
      </c>
      <c r="CP2188" s="213" t="s">
        <v>879</v>
      </c>
      <c r="CQ2188" s="213" t="s">
        <v>5882</v>
      </c>
      <c r="CR2188" s="213" t="s">
        <v>5882</v>
      </c>
      <c r="CS2188" s="213" t="s">
        <v>1620</v>
      </c>
      <c r="CT2188" s="213" t="s">
        <v>1621</v>
      </c>
      <c r="CU2188" s="213" t="s">
        <v>1622</v>
      </c>
      <c r="CV2188" s="214" t="s">
        <v>5812</v>
      </c>
      <c r="CX2188" s="212">
        <v>1</v>
      </c>
    </row>
    <row r="2189" spans="91:102" ht="21" customHeight="1">
      <c r="CM2189" s="210"/>
      <c r="CN2189" s="213" t="s">
        <v>5883</v>
      </c>
      <c r="CO2189" s="213" t="s">
        <v>875</v>
      </c>
      <c r="CP2189" s="213" t="s">
        <v>879</v>
      </c>
      <c r="CQ2189" s="213" t="s">
        <v>5884</v>
      </c>
      <c r="CR2189" s="213" t="s">
        <v>5884</v>
      </c>
      <c r="CS2189" s="213" t="s">
        <v>881</v>
      </c>
      <c r="CT2189" s="213" t="s">
        <v>5840</v>
      </c>
      <c r="CU2189" s="213" t="s">
        <v>883</v>
      </c>
      <c r="CV2189" s="214" t="s">
        <v>884</v>
      </c>
      <c r="CX2189" s="212">
        <v>1</v>
      </c>
    </row>
    <row r="2190" spans="91:102" ht="21" customHeight="1">
      <c r="CM2190" s="210"/>
      <c r="CN2190" s="213" t="s">
        <v>5885</v>
      </c>
      <c r="CO2190" s="213" t="s">
        <v>875</v>
      </c>
      <c r="CP2190" s="213" t="s">
        <v>879</v>
      </c>
      <c r="CQ2190" s="213" t="s">
        <v>5886</v>
      </c>
      <c r="CR2190" s="213" t="s">
        <v>5886</v>
      </c>
      <c r="CS2190" s="213" t="s">
        <v>1620</v>
      </c>
      <c r="CT2190" s="213" t="s">
        <v>1621</v>
      </c>
      <c r="CU2190" s="213" t="s">
        <v>1622</v>
      </c>
      <c r="CV2190" s="214" t="s">
        <v>5812</v>
      </c>
      <c r="CX2190" s="212">
        <v>1</v>
      </c>
    </row>
    <row r="2191" spans="91:102" ht="21" customHeight="1">
      <c r="CM2191" s="210"/>
      <c r="CN2191" s="213" t="s">
        <v>5887</v>
      </c>
      <c r="CO2191" s="213" t="s">
        <v>875</v>
      </c>
      <c r="CP2191" s="213" t="s">
        <v>879</v>
      </c>
      <c r="CQ2191" s="213" t="s">
        <v>5888</v>
      </c>
      <c r="CR2191" s="213" t="s">
        <v>5888</v>
      </c>
      <c r="CS2191" s="213" t="s">
        <v>1620</v>
      </c>
      <c r="CT2191" s="213" t="s">
        <v>1621</v>
      </c>
      <c r="CU2191" s="213" t="s">
        <v>1622</v>
      </c>
      <c r="CV2191" s="214" t="s">
        <v>5812</v>
      </c>
      <c r="CX2191" s="212">
        <v>1</v>
      </c>
    </row>
    <row r="2192" spans="91:102" ht="21" customHeight="1">
      <c r="CM2192" s="210"/>
      <c r="CN2192" s="213" t="s">
        <v>5889</v>
      </c>
      <c r="CO2192" s="213" t="s">
        <v>875</v>
      </c>
      <c r="CP2192" s="213" t="s">
        <v>879</v>
      </c>
      <c r="CQ2192" s="213" t="s">
        <v>5890</v>
      </c>
      <c r="CR2192" s="213" t="s">
        <v>5890</v>
      </c>
      <c r="CS2192" s="213" t="s">
        <v>1620</v>
      </c>
      <c r="CT2192" s="213" t="s">
        <v>1621</v>
      </c>
      <c r="CU2192" s="213" t="s">
        <v>1622</v>
      </c>
      <c r="CV2192" s="214" t="s">
        <v>5812</v>
      </c>
      <c r="CX2192" s="212">
        <v>1</v>
      </c>
    </row>
    <row r="2193" spans="91:102" ht="21" customHeight="1">
      <c r="CM2193" s="210"/>
      <c r="CN2193" s="213" t="s">
        <v>5891</v>
      </c>
      <c r="CO2193" s="213" t="s">
        <v>875</v>
      </c>
      <c r="CP2193" s="213" t="s">
        <v>879</v>
      </c>
      <c r="CQ2193" s="213" t="s">
        <v>5892</v>
      </c>
      <c r="CR2193" s="213" t="s">
        <v>5892</v>
      </c>
      <c r="CS2193" s="213" t="s">
        <v>1620</v>
      </c>
      <c r="CT2193" s="213" t="s">
        <v>1621</v>
      </c>
      <c r="CU2193" s="213" t="s">
        <v>1622</v>
      </c>
      <c r="CV2193" s="214" t="s">
        <v>5812</v>
      </c>
      <c r="CX2193" s="212">
        <v>1</v>
      </c>
    </row>
    <row r="2194" spans="91:102" ht="21" customHeight="1">
      <c r="CM2194" s="210"/>
      <c r="CN2194" s="213" t="s">
        <v>5893</v>
      </c>
      <c r="CO2194" s="213" t="s">
        <v>875</v>
      </c>
      <c r="CP2194" s="213" t="s">
        <v>879</v>
      </c>
      <c r="CQ2194" s="213" t="s">
        <v>5894</v>
      </c>
      <c r="CR2194" s="213" t="s">
        <v>5894</v>
      </c>
      <c r="CS2194" s="213" t="s">
        <v>1620</v>
      </c>
      <c r="CT2194" s="213" t="s">
        <v>1621</v>
      </c>
      <c r="CU2194" s="213" t="s">
        <v>1622</v>
      </c>
      <c r="CV2194" s="214" t="s">
        <v>5812</v>
      </c>
      <c r="CX2194" s="212">
        <v>1</v>
      </c>
    </row>
    <row r="2195" spans="91:102" ht="21" customHeight="1">
      <c r="CM2195" s="210"/>
      <c r="CN2195" s="213" t="s">
        <v>5895</v>
      </c>
      <c r="CO2195" s="213" t="s">
        <v>875</v>
      </c>
      <c r="CP2195" s="213" t="s">
        <v>879</v>
      </c>
      <c r="CQ2195" s="213" t="s">
        <v>5896</v>
      </c>
      <c r="CR2195" s="213" t="s">
        <v>5896</v>
      </c>
      <c r="CS2195" s="213" t="s">
        <v>1620</v>
      </c>
      <c r="CT2195" s="213" t="s">
        <v>1621</v>
      </c>
      <c r="CU2195" s="213" t="s">
        <v>1622</v>
      </c>
      <c r="CV2195" s="214" t="s">
        <v>5812</v>
      </c>
      <c r="CX2195" s="212">
        <v>1</v>
      </c>
    </row>
    <row r="2196" spans="91:102" ht="21" customHeight="1">
      <c r="CM2196" s="210"/>
      <c r="CN2196" s="213" t="s">
        <v>5897</v>
      </c>
      <c r="CO2196" s="213" t="s">
        <v>875</v>
      </c>
      <c r="CP2196" s="213" t="s">
        <v>879</v>
      </c>
      <c r="CQ2196" s="213" t="s">
        <v>5898</v>
      </c>
      <c r="CR2196" s="213" t="s">
        <v>5898</v>
      </c>
      <c r="CS2196" s="213" t="s">
        <v>1620</v>
      </c>
      <c r="CT2196" s="213" t="s">
        <v>1621</v>
      </c>
      <c r="CU2196" s="213" t="s">
        <v>1622</v>
      </c>
      <c r="CV2196" s="214" t="s">
        <v>5812</v>
      </c>
      <c r="CX2196" s="212">
        <v>1</v>
      </c>
    </row>
    <row r="2197" spans="91:102" ht="21" customHeight="1">
      <c r="CM2197" s="210"/>
      <c r="CN2197" s="213" t="s">
        <v>5899</v>
      </c>
      <c r="CO2197" s="213" t="s">
        <v>875</v>
      </c>
      <c r="CP2197" s="213" t="s">
        <v>879</v>
      </c>
      <c r="CQ2197" s="213" t="s">
        <v>5900</v>
      </c>
      <c r="CR2197" s="213" t="s">
        <v>5900</v>
      </c>
      <c r="CS2197" s="213" t="s">
        <v>971</v>
      </c>
      <c r="CT2197" s="213" t="s">
        <v>972</v>
      </c>
      <c r="CU2197" s="213" t="s">
        <v>883</v>
      </c>
      <c r="CV2197" s="214" t="s">
        <v>973</v>
      </c>
      <c r="CX2197" s="212">
        <v>1</v>
      </c>
    </row>
    <row r="2198" spans="91:102" ht="21" customHeight="1">
      <c r="CM2198" s="210"/>
      <c r="CN2198" s="213" t="s">
        <v>5901</v>
      </c>
      <c r="CO2198" s="213" t="s">
        <v>875</v>
      </c>
      <c r="CP2198" s="213" t="s">
        <v>879</v>
      </c>
      <c r="CQ2198" s="213" t="s">
        <v>5902</v>
      </c>
      <c r="CR2198" s="213" t="s">
        <v>5902</v>
      </c>
      <c r="CS2198" s="213" t="s">
        <v>1620</v>
      </c>
      <c r="CT2198" s="213" t="s">
        <v>1621</v>
      </c>
      <c r="CU2198" s="213" t="s">
        <v>1622</v>
      </c>
      <c r="CV2198" s="214" t="s">
        <v>5812</v>
      </c>
      <c r="CX2198" s="212">
        <v>1</v>
      </c>
    </row>
    <row r="2199" spans="91:102" ht="21" customHeight="1">
      <c r="CM2199" s="210"/>
      <c r="CN2199" s="213" t="s">
        <v>5903</v>
      </c>
      <c r="CO2199" s="213" t="s">
        <v>875</v>
      </c>
      <c r="CP2199" s="213" t="s">
        <v>879</v>
      </c>
      <c r="CQ2199" s="213" t="s">
        <v>5904</v>
      </c>
      <c r="CR2199" s="213" t="s">
        <v>5904</v>
      </c>
      <c r="CS2199" s="213" t="s">
        <v>1620</v>
      </c>
      <c r="CT2199" s="213" t="s">
        <v>1621</v>
      </c>
      <c r="CU2199" s="213" t="s">
        <v>1622</v>
      </c>
      <c r="CV2199" s="214" t="s">
        <v>5812</v>
      </c>
      <c r="CX2199" s="212">
        <v>1</v>
      </c>
    </row>
    <row r="2200" spans="91:102" ht="21" customHeight="1">
      <c r="CM2200" s="210"/>
      <c r="CN2200" s="213" t="s">
        <v>5905</v>
      </c>
      <c r="CO2200" s="213" t="s">
        <v>875</v>
      </c>
      <c r="CP2200" s="213" t="s">
        <v>879</v>
      </c>
      <c r="CQ2200" s="213" t="s">
        <v>5906</v>
      </c>
      <c r="CR2200" s="213" t="s">
        <v>5906</v>
      </c>
      <c r="CS2200" s="213" t="s">
        <v>1620</v>
      </c>
      <c r="CT2200" s="213" t="s">
        <v>1621</v>
      </c>
      <c r="CU2200" s="213" t="s">
        <v>1622</v>
      </c>
      <c r="CV2200" s="214" t="s">
        <v>5812</v>
      </c>
      <c r="CX2200" s="212">
        <v>1</v>
      </c>
    </row>
    <row r="2201" spans="91:102" ht="21" customHeight="1">
      <c r="CM2201" s="210"/>
      <c r="CN2201" s="213" t="s">
        <v>5907</v>
      </c>
      <c r="CO2201" s="213" t="s">
        <v>875</v>
      </c>
      <c r="CP2201" s="213" t="s">
        <v>879</v>
      </c>
      <c r="CQ2201" s="213" t="s">
        <v>5908</v>
      </c>
      <c r="CR2201" s="213" t="s">
        <v>5908</v>
      </c>
      <c r="CS2201" s="213" t="s">
        <v>1620</v>
      </c>
      <c r="CT2201" s="213" t="s">
        <v>1621</v>
      </c>
      <c r="CU2201" s="213" t="s">
        <v>1622</v>
      </c>
      <c r="CV2201" s="214" t="s">
        <v>5812</v>
      </c>
      <c r="CX2201" s="212">
        <v>1</v>
      </c>
    </row>
    <row r="2202" spans="91:102" ht="21" customHeight="1">
      <c r="CM2202" s="210"/>
      <c r="CN2202" s="213" t="s">
        <v>5909</v>
      </c>
      <c r="CO2202" s="213" t="s">
        <v>875</v>
      </c>
      <c r="CP2202" s="213" t="s">
        <v>879</v>
      </c>
      <c r="CQ2202" s="213" t="s">
        <v>5910</v>
      </c>
      <c r="CR2202" s="213" t="s">
        <v>5910</v>
      </c>
      <c r="CS2202" s="213" t="s">
        <v>1620</v>
      </c>
      <c r="CT2202" s="213" t="s">
        <v>1621</v>
      </c>
      <c r="CU2202" s="213" t="s">
        <v>1622</v>
      </c>
      <c r="CV2202" s="214" t="s">
        <v>5812</v>
      </c>
      <c r="CX2202" s="212">
        <v>1</v>
      </c>
    </row>
    <row r="2203" spans="91:102" ht="21" customHeight="1">
      <c r="CM2203" s="210"/>
      <c r="CN2203" s="213" t="s">
        <v>5911</v>
      </c>
      <c r="CO2203" s="213" t="s">
        <v>875</v>
      </c>
      <c r="CP2203" s="213" t="s">
        <v>879</v>
      </c>
      <c r="CQ2203" s="213" t="s">
        <v>5912</v>
      </c>
      <c r="CR2203" s="213" t="s">
        <v>5912</v>
      </c>
      <c r="CS2203" s="213" t="s">
        <v>1620</v>
      </c>
      <c r="CT2203" s="213" t="s">
        <v>1621</v>
      </c>
      <c r="CU2203" s="213" t="s">
        <v>1622</v>
      </c>
      <c r="CV2203" s="214" t="s">
        <v>5812</v>
      </c>
      <c r="CX2203" s="212">
        <v>1</v>
      </c>
    </row>
    <row r="2204" spans="91:102" ht="21" customHeight="1">
      <c r="CM2204" s="210"/>
      <c r="CN2204" s="213" t="s">
        <v>5913</v>
      </c>
      <c r="CO2204" s="213" t="s">
        <v>875</v>
      </c>
      <c r="CP2204" s="213" t="s">
        <v>879</v>
      </c>
      <c r="CQ2204" s="213" t="s">
        <v>5914</v>
      </c>
      <c r="CR2204" s="213" t="s">
        <v>5914</v>
      </c>
      <c r="CS2204" s="213" t="s">
        <v>881</v>
      </c>
      <c r="CT2204" s="213" t="s">
        <v>5840</v>
      </c>
      <c r="CU2204" s="213" t="s">
        <v>883</v>
      </c>
      <c r="CV2204" s="214" t="s">
        <v>884</v>
      </c>
      <c r="CX2204" s="212">
        <v>1</v>
      </c>
    </row>
    <row r="2205" spans="91:102" ht="21" customHeight="1">
      <c r="CM2205" s="210"/>
      <c r="CN2205" s="213" t="s">
        <v>5915</v>
      </c>
      <c r="CO2205" s="213" t="s">
        <v>875</v>
      </c>
      <c r="CP2205" s="213" t="s">
        <v>879</v>
      </c>
      <c r="CQ2205" s="213" t="s">
        <v>5916</v>
      </c>
      <c r="CR2205" s="213" t="s">
        <v>5916</v>
      </c>
      <c r="CS2205" s="213" t="s">
        <v>881</v>
      </c>
      <c r="CT2205" s="213" t="s">
        <v>5840</v>
      </c>
      <c r="CU2205" s="213" t="s">
        <v>883</v>
      </c>
      <c r="CV2205" s="214" t="s">
        <v>884</v>
      </c>
      <c r="CX2205" s="212">
        <v>1</v>
      </c>
    </row>
    <row r="2206" spans="91:102" ht="21" customHeight="1">
      <c r="CM2206" s="210"/>
      <c r="CN2206" s="213" t="s">
        <v>5917</v>
      </c>
      <c r="CO2206" s="213" t="s">
        <v>875</v>
      </c>
      <c r="CP2206" s="213" t="s">
        <v>879</v>
      </c>
      <c r="CQ2206" s="213" t="s">
        <v>5918</v>
      </c>
      <c r="CR2206" s="213" t="s">
        <v>5918</v>
      </c>
      <c r="CS2206" s="213" t="s">
        <v>881</v>
      </c>
      <c r="CT2206" s="213" t="s">
        <v>5840</v>
      </c>
      <c r="CU2206" s="213" t="s">
        <v>883</v>
      </c>
      <c r="CV2206" s="214" t="s">
        <v>884</v>
      </c>
      <c r="CX2206" s="212">
        <v>1</v>
      </c>
    </row>
    <row r="2207" spans="91:102" ht="21" customHeight="1">
      <c r="CM2207" s="210"/>
      <c r="CN2207" s="213" t="s">
        <v>5919</v>
      </c>
      <c r="CO2207" s="213" t="s">
        <v>875</v>
      </c>
      <c r="CP2207" s="213" t="s">
        <v>879</v>
      </c>
      <c r="CQ2207" s="213" t="s">
        <v>5920</v>
      </c>
      <c r="CR2207" s="213" t="s">
        <v>5920</v>
      </c>
      <c r="CS2207" s="213" t="s">
        <v>881</v>
      </c>
      <c r="CT2207" s="213" t="s">
        <v>5840</v>
      </c>
      <c r="CU2207" s="213" t="s">
        <v>883</v>
      </c>
      <c r="CV2207" s="214" t="s">
        <v>884</v>
      </c>
      <c r="CX2207" s="212">
        <v>1</v>
      </c>
    </row>
    <row r="2208" spans="91:102" ht="21" customHeight="1">
      <c r="CM2208" s="210"/>
      <c r="CN2208" s="213" t="s">
        <v>5921</v>
      </c>
      <c r="CO2208" s="213" t="s">
        <v>875</v>
      </c>
      <c r="CP2208" s="213" t="s">
        <v>879</v>
      </c>
      <c r="CQ2208" s="213" t="s">
        <v>5922</v>
      </c>
      <c r="CR2208" s="213" t="s">
        <v>5922</v>
      </c>
      <c r="CS2208" s="213" t="s">
        <v>881</v>
      </c>
      <c r="CT2208" s="213" t="s">
        <v>5840</v>
      </c>
      <c r="CU2208" s="213" t="s">
        <v>883</v>
      </c>
      <c r="CV2208" s="214" t="s">
        <v>884</v>
      </c>
      <c r="CX2208" s="212">
        <v>1</v>
      </c>
    </row>
    <row r="2209" spans="91:102" ht="21" customHeight="1">
      <c r="CM2209" s="210"/>
      <c r="CN2209" s="213" t="s">
        <v>5923</v>
      </c>
      <c r="CO2209" s="213" t="s">
        <v>875</v>
      </c>
      <c r="CP2209" s="213" t="s">
        <v>879</v>
      </c>
      <c r="CQ2209" s="213" t="s">
        <v>5924</v>
      </c>
      <c r="CR2209" s="213" t="s">
        <v>5924</v>
      </c>
      <c r="CS2209" s="213" t="s">
        <v>1620</v>
      </c>
      <c r="CT2209" s="213" t="s">
        <v>1621</v>
      </c>
      <c r="CU2209" s="213" t="s">
        <v>1622</v>
      </c>
      <c r="CV2209" s="214" t="s">
        <v>5812</v>
      </c>
      <c r="CX2209" s="212">
        <v>1</v>
      </c>
    </row>
    <row r="2210" spans="91:102" ht="21" customHeight="1">
      <c r="CM2210" s="210"/>
      <c r="CN2210" s="213" t="s">
        <v>5925</v>
      </c>
      <c r="CO2210" s="213" t="s">
        <v>875</v>
      </c>
      <c r="CP2210" s="213" t="s">
        <v>879</v>
      </c>
      <c r="CQ2210" s="213" t="s">
        <v>5926</v>
      </c>
      <c r="CR2210" s="213" t="s">
        <v>5926</v>
      </c>
      <c r="CS2210" s="213" t="s">
        <v>1620</v>
      </c>
      <c r="CT2210" s="213" t="s">
        <v>1621</v>
      </c>
      <c r="CU2210" s="213" t="s">
        <v>1622</v>
      </c>
      <c r="CV2210" s="214" t="s">
        <v>5812</v>
      </c>
      <c r="CX2210" s="212">
        <v>1</v>
      </c>
    </row>
    <row r="2211" spans="91:102" ht="21" customHeight="1">
      <c r="CM2211" s="210"/>
      <c r="CN2211" s="213" t="s">
        <v>5927</v>
      </c>
      <c r="CO2211" s="213" t="s">
        <v>875</v>
      </c>
      <c r="CP2211" s="213" t="s">
        <v>879</v>
      </c>
      <c r="CQ2211" s="213" t="s">
        <v>5928</v>
      </c>
      <c r="CR2211" s="213" t="s">
        <v>5928</v>
      </c>
      <c r="CS2211" s="213" t="s">
        <v>881</v>
      </c>
      <c r="CT2211" s="213" t="s">
        <v>5840</v>
      </c>
      <c r="CU2211" s="213" t="s">
        <v>883</v>
      </c>
      <c r="CV2211" s="214" t="s">
        <v>884</v>
      </c>
      <c r="CX2211" s="212">
        <v>1</v>
      </c>
    </row>
    <row r="2212" spans="91:102" ht="21" customHeight="1">
      <c r="CM2212" s="210"/>
      <c r="CN2212" s="213" t="s">
        <v>5929</v>
      </c>
      <c r="CO2212" s="213" t="s">
        <v>875</v>
      </c>
      <c r="CP2212" s="213" t="s">
        <v>879</v>
      </c>
      <c r="CQ2212" s="213" t="s">
        <v>5930</v>
      </c>
      <c r="CR2212" s="213" t="s">
        <v>5930</v>
      </c>
      <c r="CS2212" s="213" t="s">
        <v>1620</v>
      </c>
      <c r="CT2212" s="213" t="s">
        <v>1621</v>
      </c>
      <c r="CU2212" s="213" t="s">
        <v>1622</v>
      </c>
      <c r="CV2212" s="214" t="s">
        <v>5812</v>
      </c>
      <c r="CX2212" s="212">
        <v>1</v>
      </c>
    </row>
    <row r="2213" spans="91:102" ht="21" customHeight="1">
      <c r="CM2213" s="210"/>
      <c r="CN2213" s="213" t="s">
        <v>5931</v>
      </c>
      <c r="CO2213" s="213" t="s">
        <v>875</v>
      </c>
      <c r="CP2213" s="213" t="s">
        <v>879</v>
      </c>
      <c r="CQ2213" s="213" t="s">
        <v>5932</v>
      </c>
      <c r="CR2213" s="213" t="s">
        <v>5932</v>
      </c>
      <c r="CS2213" s="213" t="s">
        <v>971</v>
      </c>
      <c r="CT2213" s="213" t="s">
        <v>972</v>
      </c>
      <c r="CU2213" s="213" t="s">
        <v>883</v>
      </c>
      <c r="CV2213" s="214" t="s">
        <v>973</v>
      </c>
      <c r="CX2213" s="212">
        <v>1</v>
      </c>
    </row>
    <row r="2214" spans="91:102" ht="21" customHeight="1">
      <c r="CM2214" s="210"/>
      <c r="CN2214" s="213" t="s">
        <v>5933</v>
      </c>
      <c r="CO2214" s="213" t="s">
        <v>875</v>
      </c>
      <c r="CP2214" s="213" t="s">
        <v>879</v>
      </c>
      <c r="CQ2214" s="213" t="s">
        <v>5934</v>
      </c>
      <c r="CR2214" s="213" t="s">
        <v>5934</v>
      </c>
      <c r="CS2214" s="213" t="s">
        <v>1620</v>
      </c>
      <c r="CT2214" s="213" t="s">
        <v>1621</v>
      </c>
      <c r="CU2214" s="213" t="s">
        <v>1622</v>
      </c>
      <c r="CV2214" s="214" t="s">
        <v>5812</v>
      </c>
      <c r="CX2214" s="212">
        <v>1</v>
      </c>
    </row>
    <row r="2215" spans="91:102" ht="21" customHeight="1">
      <c r="CM2215" s="210"/>
      <c r="CN2215" s="213" t="s">
        <v>5935</v>
      </c>
      <c r="CO2215" s="213" t="s">
        <v>875</v>
      </c>
      <c r="CP2215" s="213" t="s">
        <v>879</v>
      </c>
      <c r="CQ2215" s="213" t="s">
        <v>5936</v>
      </c>
      <c r="CR2215" s="213" t="s">
        <v>5936</v>
      </c>
      <c r="CS2215" s="213" t="s">
        <v>1620</v>
      </c>
      <c r="CT2215" s="213" t="s">
        <v>1621</v>
      </c>
      <c r="CU2215" s="213" t="s">
        <v>1622</v>
      </c>
      <c r="CV2215" s="214" t="s">
        <v>5812</v>
      </c>
      <c r="CX2215" s="212">
        <v>1</v>
      </c>
    </row>
    <row r="2216" spans="91:102" ht="21" customHeight="1">
      <c r="CM2216" s="210"/>
      <c r="CN2216" s="213" t="s">
        <v>5937</v>
      </c>
      <c r="CO2216" s="213" t="s">
        <v>875</v>
      </c>
      <c r="CP2216" s="213" t="s">
        <v>879</v>
      </c>
      <c r="CQ2216" s="213" t="s">
        <v>5938</v>
      </c>
      <c r="CR2216" s="213" t="s">
        <v>5938</v>
      </c>
      <c r="CS2216" s="213" t="s">
        <v>1620</v>
      </c>
      <c r="CT2216" s="213" t="s">
        <v>1621</v>
      </c>
      <c r="CU2216" s="213" t="s">
        <v>1622</v>
      </c>
      <c r="CV2216" s="214" t="s">
        <v>5812</v>
      </c>
      <c r="CX2216" s="212">
        <v>1</v>
      </c>
    </row>
    <row r="2217" spans="91:102" ht="21" customHeight="1">
      <c r="CM2217" s="210"/>
      <c r="CN2217" s="213" t="s">
        <v>5939</v>
      </c>
      <c r="CO2217" s="213" t="s">
        <v>875</v>
      </c>
      <c r="CP2217" s="213" t="s">
        <v>879</v>
      </c>
      <c r="CQ2217" s="213" t="s">
        <v>5940</v>
      </c>
      <c r="CR2217" s="213" t="s">
        <v>5940</v>
      </c>
      <c r="CS2217" s="213" t="s">
        <v>1620</v>
      </c>
      <c r="CT2217" s="213" t="s">
        <v>1621</v>
      </c>
      <c r="CU2217" s="213" t="s">
        <v>1622</v>
      </c>
      <c r="CV2217" s="214" t="s">
        <v>5812</v>
      </c>
      <c r="CX2217" s="212">
        <v>1</v>
      </c>
    </row>
    <row r="2218" spans="91:102" ht="21" customHeight="1">
      <c r="CM2218" s="210"/>
      <c r="CN2218" s="213" t="s">
        <v>5941</v>
      </c>
      <c r="CO2218" s="213" t="s">
        <v>875</v>
      </c>
      <c r="CP2218" s="213" t="s">
        <v>879</v>
      </c>
      <c r="CQ2218" s="213" t="s">
        <v>5942</v>
      </c>
      <c r="CR2218" s="213" t="s">
        <v>5942</v>
      </c>
      <c r="CS2218" s="213" t="s">
        <v>1620</v>
      </c>
      <c r="CT2218" s="213" t="s">
        <v>1621</v>
      </c>
      <c r="CU2218" s="213" t="s">
        <v>1622</v>
      </c>
      <c r="CV2218" s="214" t="s">
        <v>5812</v>
      </c>
      <c r="CX2218" s="212">
        <v>1</v>
      </c>
    </row>
    <row r="2219" spans="91:102" ht="21" customHeight="1">
      <c r="CM2219" s="210"/>
      <c r="CN2219" s="213" t="s">
        <v>5943</v>
      </c>
      <c r="CO2219" s="213" t="s">
        <v>875</v>
      </c>
      <c r="CP2219" s="213" t="s">
        <v>879</v>
      </c>
      <c r="CQ2219" s="213" t="s">
        <v>5944</v>
      </c>
      <c r="CR2219" s="213" t="s">
        <v>5944</v>
      </c>
      <c r="CS2219" s="213" t="s">
        <v>1620</v>
      </c>
      <c r="CT2219" s="213" t="s">
        <v>1621</v>
      </c>
      <c r="CU2219" s="213" t="s">
        <v>1622</v>
      </c>
      <c r="CV2219" s="214" t="s">
        <v>5812</v>
      </c>
      <c r="CX2219" s="212">
        <v>1</v>
      </c>
    </row>
    <row r="2220" spans="91:102" ht="21" customHeight="1">
      <c r="CM2220" s="210"/>
      <c r="CN2220" s="213" t="s">
        <v>5945</v>
      </c>
      <c r="CO2220" s="213" t="s">
        <v>875</v>
      </c>
      <c r="CP2220" s="213" t="s">
        <v>879</v>
      </c>
      <c r="CQ2220" s="213" t="s">
        <v>5946</v>
      </c>
      <c r="CR2220" s="213" t="s">
        <v>5946</v>
      </c>
      <c r="CS2220" s="213" t="s">
        <v>1620</v>
      </c>
      <c r="CT2220" s="213" t="s">
        <v>1621</v>
      </c>
      <c r="CU2220" s="213" t="s">
        <v>1622</v>
      </c>
      <c r="CV2220" s="214" t="s">
        <v>5812</v>
      </c>
      <c r="CX2220" s="212">
        <v>1</v>
      </c>
    </row>
    <row r="2221" spans="91:102" ht="21" customHeight="1">
      <c r="CM2221" s="210"/>
      <c r="CN2221" s="213" t="s">
        <v>5947</v>
      </c>
      <c r="CO2221" s="213" t="s">
        <v>875</v>
      </c>
      <c r="CP2221" s="213" t="s">
        <v>879</v>
      </c>
      <c r="CQ2221" s="213" t="s">
        <v>5948</v>
      </c>
      <c r="CR2221" s="213" t="s">
        <v>5948</v>
      </c>
      <c r="CS2221" s="213" t="s">
        <v>1620</v>
      </c>
      <c r="CT2221" s="213" t="s">
        <v>1621</v>
      </c>
      <c r="CU2221" s="213" t="s">
        <v>1622</v>
      </c>
      <c r="CV2221" s="214" t="s">
        <v>5812</v>
      </c>
      <c r="CX2221" s="212">
        <v>1</v>
      </c>
    </row>
    <row r="2222" spans="91:102" ht="21" customHeight="1">
      <c r="CM2222" s="210"/>
      <c r="CN2222" s="213" t="s">
        <v>5949</v>
      </c>
      <c r="CO2222" s="213" t="s">
        <v>875</v>
      </c>
      <c r="CP2222" s="213" t="s">
        <v>879</v>
      </c>
      <c r="CQ2222" s="213" t="s">
        <v>5950</v>
      </c>
      <c r="CR2222" s="213" t="s">
        <v>5950</v>
      </c>
      <c r="CS2222" s="213" t="s">
        <v>1620</v>
      </c>
      <c r="CT2222" s="213" t="s">
        <v>1621</v>
      </c>
      <c r="CU2222" s="213" t="s">
        <v>1622</v>
      </c>
      <c r="CV2222" s="214" t="s">
        <v>5812</v>
      </c>
      <c r="CX2222" s="212">
        <v>1</v>
      </c>
    </row>
    <row r="2223" spans="91:102" ht="21" customHeight="1">
      <c r="CM2223" s="210"/>
      <c r="CN2223" s="213" t="s">
        <v>5951</v>
      </c>
      <c r="CO2223" s="213" t="s">
        <v>875</v>
      </c>
      <c r="CP2223" s="213" t="s">
        <v>879</v>
      </c>
      <c r="CQ2223" s="213" t="s">
        <v>5952</v>
      </c>
      <c r="CR2223" s="213" t="s">
        <v>5952</v>
      </c>
      <c r="CS2223" s="213" t="s">
        <v>1620</v>
      </c>
      <c r="CT2223" s="213" t="s">
        <v>1621</v>
      </c>
      <c r="CU2223" s="213" t="s">
        <v>1622</v>
      </c>
      <c r="CV2223" s="214" t="s">
        <v>5812</v>
      </c>
      <c r="CX2223" s="212">
        <v>1</v>
      </c>
    </row>
    <row r="2224" spans="91:102" ht="21" customHeight="1">
      <c r="CM2224" s="210"/>
      <c r="CN2224" s="213" t="s">
        <v>5953</v>
      </c>
      <c r="CO2224" s="213" t="s">
        <v>875</v>
      </c>
      <c r="CP2224" s="213" t="s">
        <v>879</v>
      </c>
      <c r="CQ2224" s="213" t="s">
        <v>5954</v>
      </c>
      <c r="CR2224" s="213" t="s">
        <v>5954</v>
      </c>
      <c r="CS2224" s="213" t="s">
        <v>1620</v>
      </c>
      <c r="CT2224" s="213" t="s">
        <v>1621</v>
      </c>
      <c r="CU2224" s="213" t="s">
        <v>1622</v>
      </c>
      <c r="CV2224" s="214" t="s">
        <v>5812</v>
      </c>
      <c r="CX2224" s="212">
        <v>1</v>
      </c>
    </row>
    <row r="2225" spans="91:102" ht="21" customHeight="1">
      <c r="CM2225" s="210"/>
      <c r="CN2225" s="213" t="s">
        <v>5955</v>
      </c>
      <c r="CO2225" s="213" t="s">
        <v>875</v>
      </c>
      <c r="CP2225" s="213" t="s">
        <v>879</v>
      </c>
      <c r="CQ2225" s="213" t="s">
        <v>5956</v>
      </c>
      <c r="CR2225" s="213" t="s">
        <v>5956</v>
      </c>
      <c r="CS2225" s="213" t="s">
        <v>1620</v>
      </c>
      <c r="CT2225" s="213" t="s">
        <v>1621</v>
      </c>
      <c r="CU2225" s="213" t="s">
        <v>1622</v>
      </c>
      <c r="CV2225" s="214" t="s">
        <v>5812</v>
      </c>
      <c r="CX2225" s="212">
        <v>1</v>
      </c>
    </row>
    <row r="2226" spans="91:102" ht="21" customHeight="1">
      <c r="CM2226" s="210"/>
      <c r="CN2226" s="213" t="s">
        <v>5957</v>
      </c>
      <c r="CO2226" s="213" t="s">
        <v>875</v>
      </c>
      <c r="CP2226" s="213" t="s">
        <v>879</v>
      </c>
      <c r="CQ2226" s="213" t="s">
        <v>5958</v>
      </c>
      <c r="CR2226" s="213" t="s">
        <v>5958</v>
      </c>
      <c r="CS2226" s="213" t="s">
        <v>1620</v>
      </c>
      <c r="CT2226" s="213" t="s">
        <v>1621</v>
      </c>
      <c r="CU2226" s="213" t="s">
        <v>1622</v>
      </c>
      <c r="CV2226" s="214" t="s">
        <v>5812</v>
      </c>
      <c r="CX2226" s="212">
        <v>1</v>
      </c>
    </row>
    <row r="2227" spans="91:102" ht="21" customHeight="1">
      <c r="CM2227" s="210"/>
      <c r="CN2227" s="213" t="s">
        <v>5959</v>
      </c>
      <c r="CO2227" s="213" t="s">
        <v>875</v>
      </c>
      <c r="CP2227" s="213" t="s">
        <v>879</v>
      </c>
      <c r="CQ2227" s="213" t="s">
        <v>5960</v>
      </c>
      <c r="CR2227" s="213" t="s">
        <v>5960</v>
      </c>
      <c r="CS2227" s="213" t="s">
        <v>1620</v>
      </c>
      <c r="CT2227" s="213" t="s">
        <v>1621</v>
      </c>
      <c r="CU2227" s="213" t="s">
        <v>1622</v>
      </c>
      <c r="CV2227" s="214" t="s">
        <v>5812</v>
      </c>
      <c r="CX2227" s="212">
        <v>1</v>
      </c>
    </row>
    <row r="2228" spans="91:102" ht="21" customHeight="1">
      <c r="CM2228" s="210"/>
      <c r="CN2228" s="213" t="s">
        <v>5961</v>
      </c>
      <c r="CO2228" s="213" t="s">
        <v>875</v>
      </c>
      <c r="CP2228" s="213" t="s">
        <v>879</v>
      </c>
      <c r="CQ2228" s="213" t="s">
        <v>5962</v>
      </c>
      <c r="CR2228" s="213" t="s">
        <v>5962</v>
      </c>
      <c r="CS2228" s="213" t="s">
        <v>1620</v>
      </c>
      <c r="CT2228" s="213" t="s">
        <v>1621</v>
      </c>
      <c r="CU2228" s="213" t="s">
        <v>1622</v>
      </c>
      <c r="CV2228" s="214" t="s">
        <v>5812</v>
      </c>
      <c r="CX2228" s="212">
        <v>1</v>
      </c>
    </row>
    <row r="2229" spans="91:102" ht="21" customHeight="1">
      <c r="CM2229" s="210"/>
      <c r="CN2229" s="213" t="s">
        <v>5963</v>
      </c>
      <c r="CO2229" s="213" t="s">
        <v>875</v>
      </c>
      <c r="CP2229" s="213" t="s">
        <v>879</v>
      </c>
      <c r="CQ2229" s="213" t="s">
        <v>5964</v>
      </c>
      <c r="CR2229" s="213" t="s">
        <v>5964</v>
      </c>
      <c r="CS2229" s="213" t="s">
        <v>1620</v>
      </c>
      <c r="CT2229" s="213" t="s">
        <v>1621</v>
      </c>
      <c r="CU2229" s="213" t="s">
        <v>1622</v>
      </c>
      <c r="CV2229" s="214" t="s">
        <v>5812</v>
      </c>
      <c r="CX2229" s="212">
        <v>1</v>
      </c>
    </row>
    <row r="2230" spans="91:102" ht="21" customHeight="1">
      <c r="CM2230" s="210"/>
      <c r="CN2230" s="213" t="s">
        <v>5965</v>
      </c>
      <c r="CO2230" s="213" t="s">
        <v>875</v>
      </c>
      <c r="CP2230" s="213" t="s">
        <v>879</v>
      </c>
      <c r="CQ2230" s="213" t="s">
        <v>5966</v>
      </c>
      <c r="CR2230" s="213" t="s">
        <v>5966</v>
      </c>
      <c r="CS2230" s="213" t="s">
        <v>1620</v>
      </c>
      <c r="CT2230" s="213" t="s">
        <v>1621</v>
      </c>
      <c r="CU2230" s="213" t="s">
        <v>1622</v>
      </c>
      <c r="CV2230" s="214" t="s">
        <v>5812</v>
      </c>
      <c r="CX2230" s="212">
        <v>1</v>
      </c>
    </row>
    <row r="2231" spans="91:102" ht="21" customHeight="1">
      <c r="CM2231" s="210"/>
      <c r="CN2231" s="213" t="s">
        <v>5967</v>
      </c>
      <c r="CO2231" s="213" t="s">
        <v>875</v>
      </c>
      <c r="CP2231" s="213" t="s">
        <v>879</v>
      </c>
      <c r="CQ2231" s="213" t="s">
        <v>5968</v>
      </c>
      <c r="CR2231" s="213" t="s">
        <v>5968</v>
      </c>
      <c r="CS2231" s="213" t="s">
        <v>1620</v>
      </c>
      <c r="CT2231" s="213" t="s">
        <v>1621</v>
      </c>
      <c r="CU2231" s="213" t="s">
        <v>1622</v>
      </c>
      <c r="CV2231" s="214" t="s">
        <v>5812</v>
      </c>
      <c r="CX2231" s="212">
        <v>1</v>
      </c>
    </row>
    <row r="2232" spans="91:102" ht="21" customHeight="1">
      <c r="CM2232" s="210"/>
      <c r="CN2232" s="213" t="s">
        <v>5969</v>
      </c>
      <c r="CO2232" s="213" t="s">
        <v>875</v>
      </c>
      <c r="CP2232" s="213" t="s">
        <v>879</v>
      </c>
      <c r="CQ2232" s="213" t="s">
        <v>5970</v>
      </c>
      <c r="CR2232" s="213" t="s">
        <v>5970</v>
      </c>
      <c r="CS2232" s="213" t="s">
        <v>1620</v>
      </c>
      <c r="CT2232" s="213" t="s">
        <v>1621</v>
      </c>
      <c r="CU2232" s="213" t="s">
        <v>1622</v>
      </c>
      <c r="CV2232" s="214" t="s">
        <v>5812</v>
      </c>
      <c r="CX2232" s="212">
        <v>1</v>
      </c>
    </row>
    <row r="2233" spans="91:102" ht="21" customHeight="1">
      <c r="CM2233" s="210"/>
      <c r="CN2233" s="213" t="s">
        <v>5971</v>
      </c>
      <c r="CO2233" s="213" t="s">
        <v>875</v>
      </c>
      <c r="CP2233" s="213" t="s">
        <v>879</v>
      </c>
      <c r="CQ2233" s="213" t="s">
        <v>5972</v>
      </c>
      <c r="CR2233" s="213" t="s">
        <v>5972</v>
      </c>
      <c r="CS2233" s="213" t="s">
        <v>1620</v>
      </c>
      <c r="CT2233" s="213" t="s">
        <v>1621</v>
      </c>
      <c r="CU2233" s="213" t="s">
        <v>1622</v>
      </c>
      <c r="CV2233" s="214" t="s">
        <v>5812</v>
      </c>
      <c r="CX2233" s="212">
        <v>1</v>
      </c>
    </row>
    <row r="2234" spans="91:102" ht="21" customHeight="1">
      <c r="CM2234" s="210"/>
      <c r="CN2234" s="213" t="s">
        <v>5973</v>
      </c>
      <c r="CO2234" s="213" t="s">
        <v>875</v>
      </c>
      <c r="CP2234" s="213" t="s">
        <v>879</v>
      </c>
      <c r="CQ2234" s="213" t="s">
        <v>5974</v>
      </c>
      <c r="CR2234" s="213" t="s">
        <v>5974</v>
      </c>
      <c r="CS2234" s="213" t="s">
        <v>881</v>
      </c>
      <c r="CT2234" s="213" t="s">
        <v>5840</v>
      </c>
      <c r="CU2234" s="213" t="s">
        <v>883</v>
      </c>
      <c r="CV2234" s="214" t="s">
        <v>884</v>
      </c>
      <c r="CX2234" s="212">
        <v>1</v>
      </c>
    </row>
    <row r="2235" spans="91:102" ht="21" customHeight="1">
      <c r="CM2235" s="210"/>
      <c r="CN2235" s="213" t="s">
        <v>5975</v>
      </c>
      <c r="CO2235" s="213" t="s">
        <v>875</v>
      </c>
      <c r="CP2235" s="213" t="s">
        <v>879</v>
      </c>
      <c r="CQ2235" s="213" t="s">
        <v>5976</v>
      </c>
      <c r="CR2235" s="213" t="s">
        <v>5976</v>
      </c>
      <c r="CS2235" s="213" t="s">
        <v>881</v>
      </c>
      <c r="CT2235" s="213" t="s">
        <v>5840</v>
      </c>
      <c r="CU2235" s="213" t="s">
        <v>883</v>
      </c>
      <c r="CV2235" s="214" t="s">
        <v>884</v>
      </c>
      <c r="CX2235" s="212">
        <v>1</v>
      </c>
    </row>
    <row r="2236" spans="91:102" ht="21" customHeight="1">
      <c r="CM2236" s="210"/>
      <c r="CN2236" s="213" t="s">
        <v>5977</v>
      </c>
      <c r="CO2236" s="213" t="s">
        <v>875</v>
      </c>
      <c r="CP2236" s="213" t="s">
        <v>879</v>
      </c>
      <c r="CQ2236" s="213" t="s">
        <v>5978</v>
      </c>
      <c r="CR2236" s="213" t="s">
        <v>5978</v>
      </c>
      <c r="CS2236" s="213" t="s">
        <v>881</v>
      </c>
      <c r="CT2236" s="213" t="s">
        <v>5840</v>
      </c>
      <c r="CU2236" s="213" t="s">
        <v>883</v>
      </c>
      <c r="CV2236" s="214" t="s">
        <v>884</v>
      </c>
      <c r="CX2236" s="212">
        <v>1</v>
      </c>
    </row>
    <row r="2237" spans="91:102" ht="21" customHeight="1">
      <c r="CM2237" s="210"/>
      <c r="CN2237" s="213" t="s">
        <v>5979</v>
      </c>
      <c r="CO2237" s="213" t="s">
        <v>875</v>
      </c>
      <c r="CP2237" s="213" t="s">
        <v>879</v>
      </c>
      <c r="CQ2237" s="213" t="s">
        <v>5980</v>
      </c>
      <c r="CR2237" s="213" t="s">
        <v>5980</v>
      </c>
      <c r="CS2237" s="213" t="s">
        <v>881</v>
      </c>
      <c r="CT2237" s="213" t="s">
        <v>5840</v>
      </c>
      <c r="CU2237" s="213" t="s">
        <v>883</v>
      </c>
      <c r="CV2237" s="214" t="s">
        <v>884</v>
      </c>
      <c r="CX2237" s="212">
        <v>1</v>
      </c>
    </row>
    <row r="2238" spans="91:102" ht="21" customHeight="1">
      <c r="CM2238" s="210"/>
      <c r="CN2238" s="213" t="s">
        <v>5981</v>
      </c>
      <c r="CO2238" s="213" t="s">
        <v>875</v>
      </c>
      <c r="CP2238" s="213" t="s">
        <v>879</v>
      </c>
      <c r="CQ2238" s="213" t="s">
        <v>5982</v>
      </c>
      <c r="CR2238" s="213" t="s">
        <v>5983</v>
      </c>
      <c r="CS2238" s="213" t="s">
        <v>881</v>
      </c>
      <c r="CT2238" s="213" t="s">
        <v>5840</v>
      </c>
      <c r="CU2238" s="213" t="s">
        <v>883</v>
      </c>
      <c r="CV2238" s="214" t="s">
        <v>884</v>
      </c>
      <c r="CX2238" s="212">
        <v>1</v>
      </c>
    </row>
    <row r="2239" spans="91:102" ht="21" customHeight="1">
      <c r="CM2239" s="210"/>
      <c r="CN2239" s="213" t="s">
        <v>5984</v>
      </c>
      <c r="CO2239" s="213" t="s">
        <v>875</v>
      </c>
      <c r="CP2239" s="213" t="s">
        <v>879</v>
      </c>
      <c r="CQ2239" s="213" t="s">
        <v>5985</v>
      </c>
      <c r="CR2239" s="213" t="s">
        <v>5985</v>
      </c>
      <c r="CS2239" s="213" t="s">
        <v>1620</v>
      </c>
      <c r="CT2239" s="213" t="s">
        <v>1621</v>
      </c>
      <c r="CU2239" s="213" t="s">
        <v>1622</v>
      </c>
      <c r="CV2239" s="214" t="s">
        <v>5812</v>
      </c>
      <c r="CX2239" s="212">
        <v>1</v>
      </c>
    </row>
    <row r="2240" spans="91:102" ht="21" customHeight="1">
      <c r="CM2240" s="210"/>
      <c r="CN2240" s="213" t="s">
        <v>5986</v>
      </c>
      <c r="CO2240" s="213" t="s">
        <v>875</v>
      </c>
      <c r="CP2240" s="213" t="s">
        <v>879</v>
      </c>
      <c r="CQ2240" s="213" t="s">
        <v>5987</v>
      </c>
      <c r="CR2240" s="213" t="s">
        <v>5987</v>
      </c>
      <c r="CS2240" s="213" t="s">
        <v>1620</v>
      </c>
      <c r="CT2240" s="213" t="s">
        <v>1621</v>
      </c>
      <c r="CU2240" s="213" t="s">
        <v>1622</v>
      </c>
      <c r="CV2240" s="214" t="s">
        <v>5812</v>
      </c>
      <c r="CX2240" s="212">
        <v>1</v>
      </c>
    </row>
    <row r="2241" spans="91:102" ht="21" customHeight="1">
      <c r="CM2241" s="210"/>
      <c r="CN2241" s="213" t="s">
        <v>5988</v>
      </c>
      <c r="CO2241" s="213" t="s">
        <v>875</v>
      </c>
      <c r="CP2241" s="213" t="s">
        <v>879</v>
      </c>
      <c r="CQ2241" s="213" t="s">
        <v>5989</v>
      </c>
      <c r="CR2241" s="213" t="s">
        <v>5989</v>
      </c>
      <c r="CS2241" s="213" t="s">
        <v>1620</v>
      </c>
      <c r="CT2241" s="213" t="s">
        <v>1621</v>
      </c>
      <c r="CU2241" s="213" t="s">
        <v>1622</v>
      </c>
      <c r="CV2241" s="214" t="s">
        <v>5812</v>
      </c>
      <c r="CX2241" s="212">
        <v>1</v>
      </c>
    </row>
    <row r="2242" spans="91:102" ht="21" customHeight="1">
      <c r="CM2242" s="210"/>
      <c r="CN2242" s="213" t="s">
        <v>5990</v>
      </c>
      <c r="CO2242" s="213" t="s">
        <v>875</v>
      </c>
      <c r="CP2242" s="213" t="s">
        <v>879</v>
      </c>
      <c r="CQ2242" s="213" t="s">
        <v>5991</v>
      </c>
      <c r="CR2242" s="213" t="s">
        <v>5991</v>
      </c>
      <c r="CS2242" s="213" t="s">
        <v>881</v>
      </c>
      <c r="CT2242" s="213" t="s">
        <v>5840</v>
      </c>
      <c r="CU2242" s="213" t="s">
        <v>883</v>
      </c>
      <c r="CV2242" s="214" t="s">
        <v>884</v>
      </c>
      <c r="CX2242" s="212">
        <v>1</v>
      </c>
    </row>
    <row r="2243" spans="91:102" ht="21" customHeight="1">
      <c r="CM2243" s="210"/>
      <c r="CN2243" s="213" t="s">
        <v>5992</v>
      </c>
      <c r="CO2243" s="213" t="s">
        <v>875</v>
      </c>
      <c r="CP2243" s="213" t="s">
        <v>879</v>
      </c>
      <c r="CQ2243" s="213" t="s">
        <v>5993</v>
      </c>
      <c r="CR2243" s="213" t="s">
        <v>5993</v>
      </c>
      <c r="CS2243" s="213" t="s">
        <v>881</v>
      </c>
      <c r="CT2243" s="213" t="s">
        <v>5840</v>
      </c>
      <c r="CU2243" s="213" t="s">
        <v>883</v>
      </c>
      <c r="CV2243" s="214" t="s">
        <v>884</v>
      </c>
      <c r="CX2243" s="212">
        <v>1</v>
      </c>
    </row>
    <row r="2244" spans="91:102" ht="21" customHeight="1">
      <c r="CM2244" s="210"/>
      <c r="CN2244" s="213" t="s">
        <v>5994</v>
      </c>
      <c r="CO2244" s="213" t="s">
        <v>875</v>
      </c>
      <c r="CP2244" s="213" t="s">
        <v>879</v>
      </c>
      <c r="CQ2244" s="213" t="s">
        <v>5995</v>
      </c>
      <c r="CR2244" s="213" t="s">
        <v>5995</v>
      </c>
      <c r="CS2244" s="213" t="s">
        <v>1620</v>
      </c>
      <c r="CT2244" s="213" t="s">
        <v>1621</v>
      </c>
      <c r="CU2244" s="213" t="s">
        <v>1622</v>
      </c>
      <c r="CV2244" s="214" t="s">
        <v>5812</v>
      </c>
      <c r="CX2244" s="212">
        <v>1</v>
      </c>
    </row>
    <row r="2245" spans="91:102" ht="21" customHeight="1">
      <c r="CM2245" s="210"/>
      <c r="CN2245" s="213" t="s">
        <v>5996</v>
      </c>
      <c r="CO2245" s="213" t="s">
        <v>875</v>
      </c>
      <c r="CP2245" s="213" t="s">
        <v>879</v>
      </c>
      <c r="CQ2245" s="213" t="s">
        <v>5997</v>
      </c>
      <c r="CR2245" s="213" t="s">
        <v>5997</v>
      </c>
      <c r="CS2245" s="213" t="s">
        <v>1620</v>
      </c>
      <c r="CT2245" s="213" t="s">
        <v>1621</v>
      </c>
      <c r="CU2245" s="213" t="s">
        <v>1622</v>
      </c>
      <c r="CV2245" s="214" t="s">
        <v>5812</v>
      </c>
      <c r="CX2245" s="212">
        <v>1</v>
      </c>
    </row>
    <row r="2246" spans="91:102" ht="21" customHeight="1">
      <c r="CM2246" s="210"/>
      <c r="CN2246" s="213" t="s">
        <v>5998</v>
      </c>
      <c r="CO2246" s="213" t="s">
        <v>875</v>
      </c>
      <c r="CP2246" s="213" t="s">
        <v>879</v>
      </c>
      <c r="CQ2246" s="213" t="s">
        <v>5999</v>
      </c>
      <c r="CR2246" s="213" t="s">
        <v>5999</v>
      </c>
      <c r="CS2246" s="213" t="s">
        <v>1620</v>
      </c>
      <c r="CT2246" s="213" t="s">
        <v>1621</v>
      </c>
      <c r="CU2246" s="213" t="s">
        <v>1622</v>
      </c>
      <c r="CV2246" s="214" t="s">
        <v>5812</v>
      </c>
      <c r="CX2246" s="212">
        <v>1</v>
      </c>
    </row>
    <row r="2247" spans="91:102" ht="21" customHeight="1">
      <c r="CM2247" s="210"/>
      <c r="CN2247" s="213" t="s">
        <v>6000</v>
      </c>
      <c r="CO2247" s="213" t="s">
        <v>875</v>
      </c>
      <c r="CP2247" s="213" t="s">
        <v>879</v>
      </c>
      <c r="CQ2247" s="213" t="s">
        <v>6001</v>
      </c>
      <c r="CR2247" s="213" t="s">
        <v>6001</v>
      </c>
      <c r="CS2247" s="213" t="s">
        <v>1620</v>
      </c>
      <c r="CT2247" s="213" t="s">
        <v>1621</v>
      </c>
      <c r="CU2247" s="213" t="s">
        <v>1622</v>
      </c>
      <c r="CV2247" s="214" t="s">
        <v>5812</v>
      </c>
      <c r="CX2247" s="212">
        <v>1</v>
      </c>
    </row>
    <row r="2248" spans="91:102" ht="21" customHeight="1">
      <c r="CM2248" s="210"/>
      <c r="CN2248" s="213" t="s">
        <v>6002</v>
      </c>
      <c r="CO2248" s="213" t="s">
        <v>875</v>
      </c>
      <c r="CP2248" s="213" t="s">
        <v>879</v>
      </c>
      <c r="CQ2248" s="213" t="s">
        <v>6003</v>
      </c>
      <c r="CR2248" s="213" t="s">
        <v>6003</v>
      </c>
      <c r="CS2248" s="213" t="s">
        <v>1620</v>
      </c>
      <c r="CT2248" s="213" t="s">
        <v>1621</v>
      </c>
      <c r="CU2248" s="213" t="s">
        <v>1622</v>
      </c>
      <c r="CV2248" s="214" t="s">
        <v>5812</v>
      </c>
      <c r="CX2248" s="212">
        <v>1</v>
      </c>
    </row>
    <row r="2249" spans="91:102" ht="21" customHeight="1">
      <c r="CM2249" s="210"/>
      <c r="CN2249" s="213" t="s">
        <v>6004</v>
      </c>
      <c r="CO2249" s="213" t="s">
        <v>875</v>
      </c>
      <c r="CP2249" s="213" t="s">
        <v>879</v>
      </c>
      <c r="CQ2249" s="213" t="s">
        <v>6005</v>
      </c>
      <c r="CR2249" s="213" t="s">
        <v>6006</v>
      </c>
      <c r="CS2249" s="213" t="s">
        <v>881</v>
      </c>
      <c r="CT2249" s="213" t="s">
        <v>5840</v>
      </c>
      <c r="CU2249" s="213" t="s">
        <v>883</v>
      </c>
      <c r="CV2249" s="214" t="s">
        <v>884</v>
      </c>
      <c r="CX2249" s="212">
        <v>1</v>
      </c>
    </row>
    <row r="2250" spans="91:102" ht="21" customHeight="1">
      <c r="CM2250" s="210"/>
      <c r="CN2250" s="213" t="s">
        <v>6007</v>
      </c>
      <c r="CO2250" s="213" t="s">
        <v>875</v>
      </c>
      <c r="CP2250" s="213" t="s">
        <v>879</v>
      </c>
      <c r="CQ2250" s="213" t="s">
        <v>6008</v>
      </c>
      <c r="CR2250" s="213" t="s">
        <v>6008</v>
      </c>
      <c r="CS2250" s="213" t="s">
        <v>1620</v>
      </c>
      <c r="CT2250" s="213" t="s">
        <v>1621</v>
      </c>
      <c r="CU2250" s="213" t="s">
        <v>1622</v>
      </c>
      <c r="CV2250" s="214" t="s">
        <v>5812</v>
      </c>
      <c r="CX2250" s="212">
        <v>1</v>
      </c>
    </row>
    <row r="2251" spans="91:102" ht="21" customHeight="1">
      <c r="CM2251" s="210"/>
      <c r="CN2251" s="213" t="s">
        <v>6009</v>
      </c>
      <c r="CO2251" s="213" t="s">
        <v>875</v>
      </c>
      <c r="CP2251" s="213" t="s">
        <v>879</v>
      </c>
      <c r="CQ2251" s="213" t="s">
        <v>6010</v>
      </c>
      <c r="CR2251" s="213" t="s">
        <v>6010</v>
      </c>
      <c r="CS2251" s="213" t="s">
        <v>1620</v>
      </c>
      <c r="CT2251" s="213" t="s">
        <v>1621</v>
      </c>
      <c r="CU2251" s="213" t="s">
        <v>1622</v>
      </c>
      <c r="CV2251" s="214" t="s">
        <v>5812</v>
      </c>
      <c r="CX2251" s="212">
        <v>1</v>
      </c>
    </row>
    <row r="2252" spans="91:102" ht="21" customHeight="1">
      <c r="CM2252" s="210"/>
      <c r="CN2252" s="213" t="s">
        <v>6011</v>
      </c>
      <c r="CO2252" s="213" t="s">
        <v>875</v>
      </c>
      <c r="CP2252" s="213" t="s">
        <v>879</v>
      </c>
      <c r="CQ2252" s="213" t="s">
        <v>6012</v>
      </c>
      <c r="CR2252" s="213" t="s">
        <v>6012</v>
      </c>
      <c r="CS2252" s="213" t="s">
        <v>1620</v>
      </c>
      <c r="CT2252" s="213" t="s">
        <v>1621</v>
      </c>
      <c r="CU2252" s="213" t="s">
        <v>1622</v>
      </c>
      <c r="CV2252" s="214" t="s">
        <v>5812</v>
      </c>
      <c r="CX2252" s="212">
        <v>1</v>
      </c>
    </row>
    <row r="2253" spans="91:102" ht="21" customHeight="1">
      <c r="CM2253" s="210"/>
      <c r="CN2253" s="213" t="s">
        <v>6013</v>
      </c>
      <c r="CO2253" s="213" t="s">
        <v>875</v>
      </c>
      <c r="CP2253" s="213" t="s">
        <v>879</v>
      </c>
      <c r="CQ2253" s="213" t="s">
        <v>6014</v>
      </c>
      <c r="CR2253" s="213" t="s">
        <v>6014</v>
      </c>
      <c r="CS2253" s="213" t="s">
        <v>1620</v>
      </c>
      <c r="CT2253" s="213" t="s">
        <v>1621</v>
      </c>
      <c r="CU2253" s="213" t="s">
        <v>1622</v>
      </c>
      <c r="CV2253" s="214" t="s">
        <v>5812</v>
      </c>
      <c r="CX2253" s="212">
        <v>1</v>
      </c>
    </row>
    <row r="2254" spans="91:102" ht="21" customHeight="1">
      <c r="CM2254" s="210"/>
      <c r="CN2254" s="213" t="s">
        <v>6015</v>
      </c>
      <c r="CO2254" s="213" t="s">
        <v>875</v>
      </c>
      <c r="CP2254" s="213" t="s">
        <v>879</v>
      </c>
      <c r="CQ2254" s="213" t="s">
        <v>6016</v>
      </c>
      <c r="CR2254" s="213" t="s">
        <v>6016</v>
      </c>
      <c r="CS2254" s="213" t="s">
        <v>1620</v>
      </c>
      <c r="CT2254" s="213" t="s">
        <v>1621</v>
      </c>
      <c r="CU2254" s="213" t="s">
        <v>1622</v>
      </c>
      <c r="CV2254" s="214" t="s">
        <v>5812</v>
      </c>
      <c r="CX2254" s="212">
        <v>1</v>
      </c>
    </row>
    <row r="2255" spans="91:102" ht="21" customHeight="1">
      <c r="CM2255" s="210"/>
      <c r="CN2255" s="213" t="s">
        <v>6017</v>
      </c>
      <c r="CO2255" s="213" t="s">
        <v>875</v>
      </c>
      <c r="CP2255" s="213" t="s">
        <v>879</v>
      </c>
      <c r="CQ2255" s="213" t="s">
        <v>6018</v>
      </c>
      <c r="CR2255" s="213" t="s">
        <v>6018</v>
      </c>
      <c r="CS2255" s="213" t="s">
        <v>1620</v>
      </c>
      <c r="CT2255" s="213" t="s">
        <v>1621</v>
      </c>
      <c r="CU2255" s="213" t="s">
        <v>1622</v>
      </c>
      <c r="CV2255" s="214" t="s">
        <v>5812</v>
      </c>
      <c r="CX2255" s="212">
        <v>1</v>
      </c>
    </row>
    <row r="2256" spans="91:102" ht="21" customHeight="1">
      <c r="CM2256" s="210"/>
      <c r="CN2256" s="213" t="s">
        <v>6019</v>
      </c>
      <c r="CO2256" s="213" t="s">
        <v>875</v>
      </c>
      <c r="CP2256" s="213" t="s">
        <v>879</v>
      </c>
      <c r="CQ2256" s="213" t="s">
        <v>6020</v>
      </c>
      <c r="CR2256" s="213" t="s">
        <v>6020</v>
      </c>
      <c r="CS2256" s="213" t="s">
        <v>1620</v>
      </c>
      <c r="CT2256" s="213" t="s">
        <v>1621</v>
      </c>
      <c r="CU2256" s="213" t="s">
        <v>1622</v>
      </c>
      <c r="CV2256" s="214" t="s">
        <v>5812</v>
      </c>
      <c r="CX2256" s="212">
        <v>1</v>
      </c>
    </row>
    <row r="2257" spans="91:102" ht="21" customHeight="1">
      <c r="CM2257" s="210"/>
      <c r="CN2257" s="213" t="s">
        <v>6021</v>
      </c>
      <c r="CO2257" s="213" t="s">
        <v>875</v>
      </c>
      <c r="CP2257" s="213" t="s">
        <v>879</v>
      </c>
      <c r="CQ2257" s="213" t="s">
        <v>6022</v>
      </c>
      <c r="CR2257" s="213" t="s">
        <v>6022</v>
      </c>
      <c r="CS2257" s="213" t="s">
        <v>1620</v>
      </c>
      <c r="CT2257" s="213" t="s">
        <v>1621</v>
      </c>
      <c r="CU2257" s="213" t="s">
        <v>1622</v>
      </c>
      <c r="CV2257" s="214" t="s">
        <v>5812</v>
      </c>
      <c r="CX2257" s="212">
        <v>1</v>
      </c>
    </row>
    <row r="2258" spans="91:102" ht="21" customHeight="1">
      <c r="CM2258" s="210"/>
      <c r="CN2258" s="213" t="s">
        <v>6023</v>
      </c>
      <c r="CO2258" s="213" t="s">
        <v>875</v>
      </c>
      <c r="CP2258" s="213" t="s">
        <v>879</v>
      </c>
      <c r="CQ2258" s="213" t="s">
        <v>6024</v>
      </c>
      <c r="CR2258" s="213" t="s">
        <v>6024</v>
      </c>
      <c r="CS2258" s="213" t="s">
        <v>1620</v>
      </c>
      <c r="CT2258" s="213" t="s">
        <v>1621</v>
      </c>
      <c r="CU2258" s="213" t="s">
        <v>1622</v>
      </c>
      <c r="CV2258" s="214" t="s">
        <v>5812</v>
      </c>
      <c r="CX2258" s="212">
        <v>1</v>
      </c>
    </row>
    <row r="2259" spans="91:102" ht="21" customHeight="1">
      <c r="CM2259" s="210"/>
      <c r="CN2259" s="213" t="s">
        <v>6025</v>
      </c>
      <c r="CO2259" s="213" t="s">
        <v>875</v>
      </c>
      <c r="CP2259" s="213" t="s">
        <v>879</v>
      </c>
      <c r="CQ2259" s="213" t="s">
        <v>6026</v>
      </c>
      <c r="CR2259" s="213" t="s">
        <v>6026</v>
      </c>
      <c r="CS2259" s="213" t="s">
        <v>1620</v>
      </c>
      <c r="CT2259" s="213" t="s">
        <v>1621</v>
      </c>
      <c r="CU2259" s="213" t="s">
        <v>1622</v>
      </c>
      <c r="CV2259" s="214" t="s">
        <v>5812</v>
      </c>
      <c r="CX2259" s="212">
        <v>1</v>
      </c>
    </row>
    <row r="2260" spans="91:102" ht="21" customHeight="1">
      <c r="CM2260" s="210"/>
      <c r="CN2260" s="213" t="s">
        <v>6027</v>
      </c>
      <c r="CO2260" s="213" t="s">
        <v>875</v>
      </c>
      <c r="CP2260" s="213" t="s">
        <v>879</v>
      </c>
      <c r="CQ2260" s="213" t="s">
        <v>6028</v>
      </c>
      <c r="CR2260" s="213" t="s">
        <v>6028</v>
      </c>
      <c r="CS2260" s="213" t="s">
        <v>1620</v>
      </c>
      <c r="CT2260" s="213" t="s">
        <v>1621</v>
      </c>
      <c r="CU2260" s="213" t="s">
        <v>1622</v>
      </c>
      <c r="CV2260" s="214" t="s">
        <v>5812</v>
      </c>
      <c r="CX2260" s="212">
        <v>1</v>
      </c>
    </row>
    <row r="2261" spans="91:102" ht="21" customHeight="1">
      <c r="CM2261" s="210"/>
      <c r="CN2261" s="213" t="s">
        <v>6029</v>
      </c>
      <c r="CO2261" s="213" t="s">
        <v>875</v>
      </c>
      <c r="CP2261" s="213" t="s">
        <v>879</v>
      </c>
      <c r="CQ2261" s="213" t="s">
        <v>6030</v>
      </c>
      <c r="CR2261" s="213" t="s">
        <v>6031</v>
      </c>
      <c r="CS2261" s="213" t="s">
        <v>881</v>
      </c>
      <c r="CT2261" s="213" t="s">
        <v>5840</v>
      </c>
      <c r="CU2261" s="213" t="s">
        <v>883</v>
      </c>
      <c r="CV2261" s="214" t="s">
        <v>884</v>
      </c>
      <c r="CX2261" s="212">
        <v>1</v>
      </c>
    </row>
    <row r="2262" spans="91:102" ht="21" customHeight="1">
      <c r="CM2262" s="210"/>
      <c r="CN2262" s="213" t="s">
        <v>6032</v>
      </c>
      <c r="CO2262" s="213" t="s">
        <v>875</v>
      </c>
      <c r="CP2262" s="213" t="s">
        <v>879</v>
      </c>
      <c r="CQ2262" s="213" t="s">
        <v>6033</v>
      </c>
      <c r="CR2262" s="213" t="s">
        <v>6033</v>
      </c>
      <c r="CS2262" s="213" t="s">
        <v>1620</v>
      </c>
      <c r="CT2262" s="213" t="s">
        <v>1621</v>
      </c>
      <c r="CU2262" s="213" t="s">
        <v>1622</v>
      </c>
      <c r="CV2262" s="214" t="s">
        <v>5812</v>
      </c>
      <c r="CX2262" s="212">
        <v>1</v>
      </c>
    </row>
    <row r="2263" spans="91:102" ht="21" customHeight="1">
      <c r="CM2263" s="210"/>
      <c r="CN2263" s="213" t="s">
        <v>6034</v>
      </c>
      <c r="CO2263" s="213" t="s">
        <v>875</v>
      </c>
      <c r="CP2263" s="213" t="s">
        <v>879</v>
      </c>
      <c r="CQ2263" s="213" t="s">
        <v>6035</v>
      </c>
      <c r="CR2263" s="213" t="s">
        <v>6035</v>
      </c>
      <c r="CS2263" s="213" t="s">
        <v>1620</v>
      </c>
      <c r="CT2263" s="213" t="s">
        <v>1621</v>
      </c>
      <c r="CU2263" s="213" t="s">
        <v>1622</v>
      </c>
      <c r="CV2263" s="214" t="s">
        <v>5812</v>
      </c>
      <c r="CX2263" s="212">
        <v>1</v>
      </c>
    </row>
    <row r="2264" spans="91:102" ht="21" customHeight="1">
      <c r="CM2264" s="210"/>
      <c r="CN2264" s="213" t="s">
        <v>6036</v>
      </c>
      <c r="CO2264" s="213" t="s">
        <v>875</v>
      </c>
      <c r="CP2264" s="213" t="s">
        <v>879</v>
      </c>
      <c r="CQ2264" s="213" t="s">
        <v>6037</v>
      </c>
      <c r="CR2264" s="213" t="s">
        <v>6037</v>
      </c>
      <c r="CS2264" s="213" t="s">
        <v>881</v>
      </c>
      <c r="CT2264" s="213" t="s">
        <v>5840</v>
      </c>
      <c r="CU2264" s="213" t="s">
        <v>883</v>
      </c>
      <c r="CV2264" s="214" t="s">
        <v>884</v>
      </c>
      <c r="CX2264" s="212">
        <v>1</v>
      </c>
    </row>
    <row r="2265" spans="91:102" ht="21" customHeight="1">
      <c r="CM2265" s="210"/>
      <c r="CN2265" s="213" t="s">
        <v>6038</v>
      </c>
      <c r="CO2265" s="213" t="s">
        <v>875</v>
      </c>
      <c r="CP2265" s="213" t="s">
        <v>879</v>
      </c>
      <c r="CQ2265" s="213" t="s">
        <v>6039</v>
      </c>
      <c r="CR2265" s="213" t="s">
        <v>6039</v>
      </c>
      <c r="CS2265" s="213" t="s">
        <v>1620</v>
      </c>
      <c r="CT2265" s="213" t="s">
        <v>1621</v>
      </c>
      <c r="CU2265" s="213" t="s">
        <v>1622</v>
      </c>
      <c r="CV2265" s="214" t="s">
        <v>5812</v>
      </c>
      <c r="CX2265" s="212">
        <v>1</v>
      </c>
    </row>
    <row r="2266" spans="91:102" ht="21" customHeight="1">
      <c r="CM2266" s="210"/>
      <c r="CN2266" s="213" t="s">
        <v>6040</v>
      </c>
      <c r="CO2266" s="213" t="s">
        <v>875</v>
      </c>
      <c r="CP2266" s="213" t="s">
        <v>879</v>
      </c>
      <c r="CQ2266" s="213" t="s">
        <v>6041</v>
      </c>
      <c r="CR2266" s="213" t="s">
        <v>6041</v>
      </c>
      <c r="CS2266" s="213" t="s">
        <v>1620</v>
      </c>
      <c r="CT2266" s="213" t="s">
        <v>1621</v>
      </c>
      <c r="CU2266" s="213" t="s">
        <v>1622</v>
      </c>
      <c r="CV2266" s="214" t="s">
        <v>5812</v>
      </c>
      <c r="CX2266" s="212">
        <v>1</v>
      </c>
    </row>
    <row r="2267" spans="91:102" ht="21" customHeight="1">
      <c r="CM2267" s="210"/>
      <c r="CN2267" s="213" t="s">
        <v>6042</v>
      </c>
      <c r="CO2267" s="213" t="s">
        <v>875</v>
      </c>
      <c r="CP2267" s="213" t="s">
        <v>879</v>
      </c>
      <c r="CQ2267" s="213" t="s">
        <v>6043</v>
      </c>
      <c r="CR2267" s="213" t="s">
        <v>6043</v>
      </c>
      <c r="CS2267" s="213" t="s">
        <v>1620</v>
      </c>
      <c r="CT2267" s="213" t="s">
        <v>1621</v>
      </c>
      <c r="CU2267" s="213" t="s">
        <v>1622</v>
      </c>
      <c r="CV2267" s="214" t="s">
        <v>5812</v>
      </c>
      <c r="CX2267" s="212">
        <v>1</v>
      </c>
    </row>
    <row r="2268" spans="91:102" ht="21" customHeight="1">
      <c r="CM2268" s="210"/>
      <c r="CN2268" s="213" t="s">
        <v>6044</v>
      </c>
      <c r="CO2268" s="213" t="s">
        <v>875</v>
      </c>
      <c r="CP2268" s="213" t="s">
        <v>879</v>
      </c>
      <c r="CQ2268" s="213" t="s">
        <v>6045</v>
      </c>
      <c r="CR2268" s="213" t="s">
        <v>6045</v>
      </c>
      <c r="CS2268" s="213" t="s">
        <v>1620</v>
      </c>
      <c r="CT2268" s="213" t="s">
        <v>1621</v>
      </c>
      <c r="CU2268" s="213" t="s">
        <v>1622</v>
      </c>
      <c r="CV2268" s="214" t="s">
        <v>5812</v>
      </c>
      <c r="CX2268" s="212">
        <v>1</v>
      </c>
    </row>
    <row r="2269" spans="91:102" ht="21" customHeight="1">
      <c r="CM2269" s="210"/>
      <c r="CN2269" s="213" t="s">
        <v>6046</v>
      </c>
      <c r="CO2269" s="213" t="s">
        <v>875</v>
      </c>
      <c r="CP2269" s="213" t="s">
        <v>879</v>
      </c>
      <c r="CQ2269" s="213" t="s">
        <v>6047</v>
      </c>
      <c r="CR2269" s="213" t="s">
        <v>6047</v>
      </c>
      <c r="CS2269" s="213" t="s">
        <v>1620</v>
      </c>
      <c r="CT2269" s="213" t="s">
        <v>1621</v>
      </c>
      <c r="CU2269" s="213" t="s">
        <v>1622</v>
      </c>
      <c r="CV2269" s="214" t="s">
        <v>5812</v>
      </c>
      <c r="CX2269" s="212">
        <v>1</v>
      </c>
    </row>
    <row r="2270" spans="91:102" ht="21" customHeight="1">
      <c r="CM2270" s="210"/>
      <c r="CN2270" s="213" t="s">
        <v>6048</v>
      </c>
      <c r="CO2270" s="213" t="s">
        <v>875</v>
      </c>
      <c r="CP2270" s="213" t="s">
        <v>879</v>
      </c>
      <c r="CQ2270" s="213" t="s">
        <v>6049</v>
      </c>
      <c r="CR2270" s="213" t="s">
        <v>6049</v>
      </c>
      <c r="CS2270" s="213" t="s">
        <v>1620</v>
      </c>
      <c r="CT2270" s="213" t="s">
        <v>1621</v>
      </c>
      <c r="CU2270" s="213" t="s">
        <v>1622</v>
      </c>
      <c r="CV2270" s="214" t="s">
        <v>5812</v>
      </c>
      <c r="CX2270" s="212">
        <v>1</v>
      </c>
    </row>
    <row r="2271" spans="91:102" ht="21" customHeight="1">
      <c r="CM2271" s="210"/>
      <c r="CN2271" s="213" t="s">
        <v>6050</v>
      </c>
      <c r="CO2271" s="213" t="s">
        <v>875</v>
      </c>
      <c r="CP2271" s="213" t="s">
        <v>879</v>
      </c>
      <c r="CQ2271" s="213" t="s">
        <v>6051</v>
      </c>
      <c r="CR2271" s="213" t="s">
        <v>6051</v>
      </c>
      <c r="CS2271" s="213" t="s">
        <v>1620</v>
      </c>
      <c r="CT2271" s="213" t="s">
        <v>1621</v>
      </c>
      <c r="CU2271" s="213" t="s">
        <v>1622</v>
      </c>
      <c r="CV2271" s="214" t="s">
        <v>5812</v>
      </c>
      <c r="CX2271" s="212">
        <v>1</v>
      </c>
    </row>
    <row r="2272" spans="91:102" ht="21" customHeight="1">
      <c r="CM2272" s="210"/>
      <c r="CN2272" s="213" t="s">
        <v>6052</v>
      </c>
      <c r="CO2272" s="213" t="s">
        <v>875</v>
      </c>
      <c r="CP2272" s="213" t="s">
        <v>879</v>
      </c>
      <c r="CQ2272" s="213" t="s">
        <v>6053</v>
      </c>
      <c r="CR2272" s="213" t="s">
        <v>6053</v>
      </c>
      <c r="CS2272" s="213" t="s">
        <v>1620</v>
      </c>
      <c r="CT2272" s="213" t="s">
        <v>1621</v>
      </c>
      <c r="CU2272" s="213" t="s">
        <v>1622</v>
      </c>
      <c r="CV2272" s="214" t="s">
        <v>5812</v>
      </c>
      <c r="CX2272" s="212">
        <v>1</v>
      </c>
    </row>
    <row r="2273" spans="91:102" ht="21" customHeight="1">
      <c r="CM2273" s="210"/>
      <c r="CN2273" s="213" t="s">
        <v>6054</v>
      </c>
      <c r="CO2273" s="213" t="s">
        <v>875</v>
      </c>
      <c r="CP2273" s="213" t="s">
        <v>879</v>
      </c>
      <c r="CQ2273" s="213" t="s">
        <v>6055</v>
      </c>
      <c r="CR2273" s="213" t="s">
        <v>6055</v>
      </c>
      <c r="CS2273" s="213" t="s">
        <v>1620</v>
      </c>
      <c r="CT2273" s="213" t="s">
        <v>1621</v>
      </c>
      <c r="CU2273" s="213" t="s">
        <v>1622</v>
      </c>
      <c r="CV2273" s="214" t="s">
        <v>5812</v>
      </c>
      <c r="CX2273" s="212">
        <v>1</v>
      </c>
    </row>
    <row r="2274" spans="91:102" ht="21" customHeight="1">
      <c r="CM2274" s="210"/>
      <c r="CN2274" s="213" t="s">
        <v>6056</v>
      </c>
      <c r="CO2274" s="213" t="s">
        <v>875</v>
      </c>
      <c r="CP2274" s="213" t="s">
        <v>879</v>
      </c>
      <c r="CQ2274" s="213" t="s">
        <v>6057</v>
      </c>
      <c r="CR2274" s="213" t="s">
        <v>6057</v>
      </c>
      <c r="CS2274" s="213" t="s">
        <v>1620</v>
      </c>
      <c r="CT2274" s="213" t="s">
        <v>1621</v>
      </c>
      <c r="CU2274" s="213" t="s">
        <v>1622</v>
      </c>
      <c r="CV2274" s="214" t="s">
        <v>5812</v>
      </c>
      <c r="CX2274" s="212">
        <v>1</v>
      </c>
    </row>
    <row r="2275" spans="91:102" ht="21" customHeight="1">
      <c r="CM2275" s="210"/>
      <c r="CN2275" s="213" t="s">
        <v>6058</v>
      </c>
      <c r="CO2275" s="213" t="s">
        <v>875</v>
      </c>
      <c r="CP2275" s="213" t="s">
        <v>879</v>
      </c>
      <c r="CQ2275" s="213" t="s">
        <v>6059</v>
      </c>
      <c r="CR2275" s="213" t="s">
        <v>6059</v>
      </c>
      <c r="CS2275" s="213" t="s">
        <v>1620</v>
      </c>
      <c r="CT2275" s="213" t="s">
        <v>1621</v>
      </c>
      <c r="CU2275" s="213" t="s">
        <v>1622</v>
      </c>
      <c r="CV2275" s="214" t="s">
        <v>5812</v>
      </c>
      <c r="CX2275" s="212">
        <v>1</v>
      </c>
    </row>
    <row r="2276" spans="91:102" ht="21" customHeight="1">
      <c r="CM2276" s="210"/>
      <c r="CN2276" s="213" t="s">
        <v>6060</v>
      </c>
      <c r="CO2276" s="213" t="s">
        <v>875</v>
      </c>
      <c r="CP2276" s="213" t="s">
        <v>879</v>
      </c>
      <c r="CQ2276" s="213" t="s">
        <v>6061</v>
      </c>
      <c r="CR2276" s="213" t="s">
        <v>6061</v>
      </c>
      <c r="CS2276" s="213" t="s">
        <v>1620</v>
      </c>
      <c r="CT2276" s="213" t="s">
        <v>1621</v>
      </c>
      <c r="CU2276" s="213" t="s">
        <v>1622</v>
      </c>
      <c r="CV2276" s="214" t="s">
        <v>5812</v>
      </c>
      <c r="CX2276" s="212">
        <v>1</v>
      </c>
    </row>
    <row r="2277" spans="91:102" ht="21" customHeight="1">
      <c r="CM2277" s="210"/>
      <c r="CN2277" s="213" t="s">
        <v>6062</v>
      </c>
      <c r="CO2277" s="213" t="s">
        <v>875</v>
      </c>
      <c r="CP2277" s="213" t="s">
        <v>879</v>
      </c>
      <c r="CQ2277" s="213" t="s">
        <v>6063</v>
      </c>
      <c r="CR2277" s="213" t="s">
        <v>6063</v>
      </c>
      <c r="CS2277" s="213" t="s">
        <v>1620</v>
      </c>
      <c r="CT2277" s="213" t="s">
        <v>1621</v>
      </c>
      <c r="CU2277" s="213" t="s">
        <v>1622</v>
      </c>
      <c r="CV2277" s="214" t="s">
        <v>5812</v>
      </c>
      <c r="CX2277" s="212">
        <v>1</v>
      </c>
    </row>
    <row r="2278" spans="91:102" ht="21" customHeight="1">
      <c r="CM2278" s="210"/>
      <c r="CN2278" s="213" t="s">
        <v>6064</v>
      </c>
      <c r="CO2278" s="213" t="s">
        <v>875</v>
      </c>
      <c r="CP2278" s="213" t="s">
        <v>879</v>
      </c>
      <c r="CQ2278" s="213" t="s">
        <v>6065</v>
      </c>
      <c r="CR2278" s="213" t="s">
        <v>6065</v>
      </c>
      <c r="CS2278" s="213" t="s">
        <v>971</v>
      </c>
      <c r="CT2278" s="213" t="s">
        <v>972</v>
      </c>
      <c r="CU2278" s="213" t="s">
        <v>883</v>
      </c>
      <c r="CV2278" s="214" t="s">
        <v>973</v>
      </c>
      <c r="CX2278" s="212">
        <v>1</v>
      </c>
    </row>
    <row r="2279" spans="91:102" ht="21" customHeight="1">
      <c r="CM2279" s="210"/>
      <c r="CN2279" s="213" t="s">
        <v>6066</v>
      </c>
      <c r="CO2279" s="213" t="s">
        <v>875</v>
      </c>
      <c r="CP2279" s="213" t="s">
        <v>879</v>
      </c>
      <c r="CQ2279" s="213" t="s">
        <v>6067</v>
      </c>
      <c r="CR2279" s="213" t="s">
        <v>6067</v>
      </c>
      <c r="CS2279" s="213" t="s">
        <v>971</v>
      </c>
      <c r="CT2279" s="213" t="s">
        <v>972</v>
      </c>
      <c r="CU2279" s="213" t="s">
        <v>883</v>
      </c>
      <c r="CV2279" s="214" t="s">
        <v>973</v>
      </c>
      <c r="CX2279" s="212">
        <v>1</v>
      </c>
    </row>
    <row r="2280" spans="91:102" ht="21" customHeight="1">
      <c r="CM2280" s="210"/>
      <c r="CN2280" s="213" t="s">
        <v>6068</v>
      </c>
      <c r="CO2280" s="213" t="s">
        <v>875</v>
      </c>
      <c r="CP2280" s="213" t="s">
        <v>879</v>
      </c>
      <c r="CQ2280" s="213" t="s">
        <v>6069</v>
      </c>
      <c r="CR2280" s="213" t="s">
        <v>6069</v>
      </c>
      <c r="CS2280" s="213" t="s">
        <v>881</v>
      </c>
      <c r="CT2280" s="213" t="s">
        <v>5840</v>
      </c>
      <c r="CU2280" s="213" t="s">
        <v>883</v>
      </c>
      <c r="CV2280" s="214" t="s">
        <v>884</v>
      </c>
      <c r="CX2280" s="212">
        <v>1</v>
      </c>
    </row>
    <row r="2281" spans="91:102" ht="21" customHeight="1">
      <c r="CM2281" s="210"/>
      <c r="CN2281" s="213" t="s">
        <v>6070</v>
      </c>
      <c r="CO2281" s="213" t="s">
        <v>875</v>
      </c>
      <c r="CP2281" s="213" t="s">
        <v>879</v>
      </c>
      <c r="CQ2281" s="213" t="s">
        <v>6071</v>
      </c>
      <c r="CR2281" s="213" t="s">
        <v>6071</v>
      </c>
      <c r="CS2281" s="213" t="s">
        <v>881</v>
      </c>
      <c r="CT2281" s="213" t="s">
        <v>5840</v>
      </c>
      <c r="CU2281" s="213" t="s">
        <v>883</v>
      </c>
      <c r="CV2281" s="214" t="s">
        <v>884</v>
      </c>
      <c r="CX2281" s="212">
        <v>1</v>
      </c>
    </row>
    <row r="2282" spans="91:102" ht="21" customHeight="1">
      <c r="CM2282" s="210"/>
      <c r="CN2282" s="213" t="s">
        <v>6072</v>
      </c>
      <c r="CO2282" s="213" t="s">
        <v>875</v>
      </c>
      <c r="CP2282" s="213" t="s">
        <v>879</v>
      </c>
      <c r="CQ2282" s="213" t="s">
        <v>6073</v>
      </c>
      <c r="CR2282" s="213" t="s">
        <v>6073</v>
      </c>
      <c r="CS2282" s="213" t="s">
        <v>1620</v>
      </c>
      <c r="CT2282" s="213" t="s">
        <v>1621</v>
      </c>
      <c r="CU2282" s="213" t="s">
        <v>1622</v>
      </c>
      <c r="CV2282" s="214" t="s">
        <v>5812</v>
      </c>
      <c r="CX2282" s="212">
        <v>1</v>
      </c>
    </row>
    <row r="2283" spans="91:102" ht="21" customHeight="1">
      <c r="CM2283" s="210"/>
      <c r="CN2283" s="213" t="s">
        <v>6074</v>
      </c>
      <c r="CO2283" s="213" t="s">
        <v>875</v>
      </c>
      <c r="CP2283" s="213" t="s">
        <v>879</v>
      </c>
      <c r="CQ2283" s="213" t="s">
        <v>6075</v>
      </c>
      <c r="CR2283" s="213" t="s">
        <v>6075</v>
      </c>
      <c r="CS2283" s="213" t="s">
        <v>1620</v>
      </c>
      <c r="CT2283" s="213" t="s">
        <v>1621</v>
      </c>
      <c r="CU2283" s="213" t="s">
        <v>1622</v>
      </c>
      <c r="CV2283" s="214" t="s">
        <v>5812</v>
      </c>
      <c r="CX2283" s="212">
        <v>1</v>
      </c>
    </row>
    <row r="2284" spans="91:102" ht="21" customHeight="1">
      <c r="CM2284" s="210"/>
      <c r="CN2284" s="213" t="s">
        <v>6076</v>
      </c>
      <c r="CO2284" s="213" t="s">
        <v>875</v>
      </c>
      <c r="CP2284" s="213" t="s">
        <v>879</v>
      </c>
      <c r="CQ2284" s="213" t="s">
        <v>6077</v>
      </c>
      <c r="CR2284" s="213" t="s">
        <v>6077</v>
      </c>
      <c r="CS2284" s="213" t="s">
        <v>1620</v>
      </c>
      <c r="CT2284" s="213" t="s">
        <v>1621</v>
      </c>
      <c r="CU2284" s="213" t="s">
        <v>1622</v>
      </c>
      <c r="CV2284" s="214" t="s">
        <v>5812</v>
      </c>
      <c r="CX2284" s="212">
        <v>1</v>
      </c>
    </row>
    <row r="2285" spans="91:102" ht="21" customHeight="1">
      <c r="CM2285" s="210"/>
      <c r="CN2285" s="213" t="s">
        <v>6078</v>
      </c>
      <c r="CO2285" s="213" t="s">
        <v>875</v>
      </c>
      <c r="CP2285" s="213" t="s">
        <v>879</v>
      </c>
      <c r="CQ2285" s="213" t="s">
        <v>6079</v>
      </c>
      <c r="CR2285" s="213" t="s">
        <v>6079</v>
      </c>
      <c r="CS2285" s="213" t="s">
        <v>1620</v>
      </c>
      <c r="CT2285" s="213" t="s">
        <v>1621</v>
      </c>
      <c r="CU2285" s="213" t="s">
        <v>1622</v>
      </c>
      <c r="CV2285" s="214" t="s">
        <v>5812</v>
      </c>
      <c r="CX2285" s="212">
        <v>1</v>
      </c>
    </row>
    <row r="2286" spans="91:102" ht="21" customHeight="1">
      <c r="CM2286" s="210"/>
      <c r="CN2286" s="213" t="s">
        <v>6080</v>
      </c>
      <c r="CO2286" s="213" t="s">
        <v>875</v>
      </c>
      <c r="CP2286" s="213" t="s">
        <v>879</v>
      </c>
      <c r="CQ2286" s="213" t="s">
        <v>6081</v>
      </c>
      <c r="CR2286" s="213" t="s">
        <v>6081</v>
      </c>
      <c r="CS2286" s="213" t="s">
        <v>1620</v>
      </c>
      <c r="CT2286" s="213" t="s">
        <v>1621</v>
      </c>
      <c r="CU2286" s="213" t="s">
        <v>1622</v>
      </c>
      <c r="CV2286" s="214" t="s">
        <v>5812</v>
      </c>
      <c r="CX2286" s="212">
        <v>1</v>
      </c>
    </row>
    <row r="2287" spans="91:102" ht="21" customHeight="1">
      <c r="CM2287" s="210"/>
      <c r="CN2287" s="213" t="s">
        <v>6082</v>
      </c>
      <c r="CO2287" s="213" t="s">
        <v>875</v>
      </c>
      <c r="CP2287" s="213" t="s">
        <v>879</v>
      </c>
      <c r="CQ2287" s="213" t="s">
        <v>6083</v>
      </c>
      <c r="CR2287" s="213" t="s">
        <v>6083</v>
      </c>
      <c r="CS2287" s="213" t="s">
        <v>1620</v>
      </c>
      <c r="CT2287" s="213" t="s">
        <v>1621</v>
      </c>
      <c r="CU2287" s="213" t="s">
        <v>1622</v>
      </c>
      <c r="CV2287" s="214" t="s">
        <v>5812</v>
      </c>
      <c r="CX2287" s="212">
        <v>1</v>
      </c>
    </row>
    <row r="2288" spans="91:102" ht="21" customHeight="1">
      <c r="CM2288" s="210"/>
      <c r="CN2288" s="213" t="s">
        <v>6084</v>
      </c>
      <c r="CO2288" s="213" t="s">
        <v>875</v>
      </c>
      <c r="CP2288" s="213" t="s">
        <v>879</v>
      </c>
      <c r="CQ2288" s="213" t="s">
        <v>6085</v>
      </c>
      <c r="CR2288" s="213" t="s">
        <v>6085</v>
      </c>
      <c r="CS2288" s="213" t="s">
        <v>1620</v>
      </c>
      <c r="CT2288" s="213" t="s">
        <v>1621</v>
      </c>
      <c r="CU2288" s="213" t="s">
        <v>1622</v>
      </c>
      <c r="CV2288" s="214" t="s">
        <v>5812</v>
      </c>
      <c r="CX2288" s="212">
        <v>1</v>
      </c>
    </row>
    <row r="2289" spans="91:102" ht="21" customHeight="1">
      <c r="CM2289" s="210"/>
      <c r="CN2289" s="213" t="s">
        <v>6086</v>
      </c>
      <c r="CO2289" s="213" t="s">
        <v>875</v>
      </c>
      <c r="CP2289" s="213" t="s">
        <v>879</v>
      </c>
      <c r="CQ2289" s="213" t="s">
        <v>6087</v>
      </c>
      <c r="CR2289" s="213" t="s">
        <v>6087</v>
      </c>
      <c r="CS2289" s="213" t="s">
        <v>1620</v>
      </c>
      <c r="CT2289" s="213" t="s">
        <v>1621</v>
      </c>
      <c r="CU2289" s="213" t="s">
        <v>1622</v>
      </c>
      <c r="CV2289" s="214" t="s">
        <v>5812</v>
      </c>
      <c r="CX2289" s="212">
        <v>1</v>
      </c>
    </row>
    <row r="2290" spans="91:102" ht="21" customHeight="1">
      <c r="CM2290" s="210"/>
      <c r="CN2290" s="213" t="s">
        <v>6088</v>
      </c>
      <c r="CO2290" s="213" t="s">
        <v>875</v>
      </c>
      <c r="CP2290" s="213" t="s">
        <v>879</v>
      </c>
      <c r="CQ2290" s="213" t="s">
        <v>6089</v>
      </c>
      <c r="CR2290" s="213" t="s">
        <v>6089</v>
      </c>
      <c r="CS2290" s="213" t="s">
        <v>1620</v>
      </c>
      <c r="CT2290" s="213" t="s">
        <v>1621</v>
      </c>
      <c r="CU2290" s="213" t="s">
        <v>1622</v>
      </c>
      <c r="CV2290" s="214" t="s">
        <v>5812</v>
      </c>
      <c r="CX2290" s="212">
        <v>1</v>
      </c>
    </row>
    <row r="2291" spans="91:102" ht="21" customHeight="1">
      <c r="CM2291" s="210"/>
      <c r="CN2291" s="213" t="s">
        <v>6090</v>
      </c>
      <c r="CO2291" s="213" t="s">
        <v>875</v>
      </c>
      <c r="CP2291" s="213" t="s">
        <v>879</v>
      </c>
      <c r="CQ2291" s="213" t="s">
        <v>6091</v>
      </c>
      <c r="CR2291" s="213" t="s">
        <v>6091</v>
      </c>
      <c r="CS2291" s="213" t="s">
        <v>1620</v>
      </c>
      <c r="CT2291" s="213" t="s">
        <v>1621</v>
      </c>
      <c r="CU2291" s="213" t="s">
        <v>1622</v>
      </c>
      <c r="CV2291" s="214" t="s">
        <v>5812</v>
      </c>
      <c r="CX2291" s="212">
        <v>1</v>
      </c>
    </row>
    <row r="2292" spans="91:102" ht="21" customHeight="1">
      <c r="CM2292" s="210"/>
      <c r="CN2292" s="213" t="s">
        <v>6092</v>
      </c>
      <c r="CO2292" s="213" t="s">
        <v>875</v>
      </c>
      <c r="CP2292" s="213" t="s">
        <v>879</v>
      </c>
      <c r="CQ2292" s="213" t="s">
        <v>6093</v>
      </c>
      <c r="CR2292" s="213" t="s">
        <v>6093</v>
      </c>
      <c r="CS2292" s="213" t="s">
        <v>1620</v>
      </c>
      <c r="CT2292" s="213" t="s">
        <v>1621</v>
      </c>
      <c r="CU2292" s="213" t="s">
        <v>1622</v>
      </c>
      <c r="CV2292" s="214" t="s">
        <v>5812</v>
      </c>
      <c r="CX2292" s="212">
        <v>1</v>
      </c>
    </row>
    <row r="2293" spans="91:102" ht="21" customHeight="1">
      <c r="CM2293" s="210"/>
      <c r="CN2293" s="213" t="s">
        <v>6094</v>
      </c>
      <c r="CO2293" s="213" t="s">
        <v>875</v>
      </c>
      <c r="CP2293" s="213" t="s">
        <v>879</v>
      </c>
      <c r="CQ2293" s="213" t="s">
        <v>6095</v>
      </c>
      <c r="CR2293" s="213" t="s">
        <v>6095</v>
      </c>
      <c r="CS2293" s="213" t="s">
        <v>881</v>
      </c>
      <c r="CT2293" s="213" t="s">
        <v>5840</v>
      </c>
      <c r="CU2293" s="213" t="s">
        <v>883</v>
      </c>
      <c r="CV2293" s="214" t="s">
        <v>884</v>
      </c>
      <c r="CX2293" s="212">
        <v>1</v>
      </c>
    </row>
    <row r="2294" spans="91:102" ht="21" customHeight="1">
      <c r="CM2294" s="210"/>
      <c r="CN2294" s="213" t="s">
        <v>6096</v>
      </c>
      <c r="CO2294" s="213" t="s">
        <v>875</v>
      </c>
      <c r="CP2294" s="213" t="s">
        <v>879</v>
      </c>
      <c r="CQ2294" s="213" t="s">
        <v>6097</v>
      </c>
      <c r="CR2294" s="213" t="s">
        <v>6097</v>
      </c>
      <c r="CS2294" s="213" t="s">
        <v>1620</v>
      </c>
      <c r="CT2294" s="213" t="s">
        <v>1621</v>
      </c>
      <c r="CU2294" s="213" t="s">
        <v>1622</v>
      </c>
      <c r="CV2294" s="214" t="s">
        <v>5812</v>
      </c>
      <c r="CX2294" s="212">
        <v>1</v>
      </c>
    </row>
    <row r="2295" spans="91:102" ht="21" customHeight="1">
      <c r="CM2295" s="210"/>
      <c r="CN2295" s="213" t="s">
        <v>6098</v>
      </c>
      <c r="CO2295" s="213" t="s">
        <v>875</v>
      </c>
      <c r="CP2295" s="213" t="s">
        <v>879</v>
      </c>
      <c r="CQ2295" s="213" t="s">
        <v>6099</v>
      </c>
      <c r="CR2295" s="213" t="s">
        <v>6099</v>
      </c>
      <c r="CS2295" s="213" t="s">
        <v>971</v>
      </c>
      <c r="CT2295" s="213" t="s">
        <v>972</v>
      </c>
      <c r="CU2295" s="213" t="s">
        <v>883</v>
      </c>
      <c r="CV2295" s="214" t="s">
        <v>973</v>
      </c>
      <c r="CX2295" s="212">
        <v>1</v>
      </c>
    </row>
    <row r="2296" spans="91:102" ht="21" customHeight="1">
      <c r="CM2296" s="210"/>
      <c r="CN2296" s="213" t="s">
        <v>6100</v>
      </c>
      <c r="CO2296" s="213" t="s">
        <v>875</v>
      </c>
      <c r="CP2296" s="213" t="s">
        <v>879</v>
      </c>
      <c r="CQ2296" s="213" t="s">
        <v>6101</v>
      </c>
      <c r="CR2296" s="213" t="s">
        <v>6101</v>
      </c>
      <c r="CS2296" s="213" t="s">
        <v>971</v>
      </c>
      <c r="CT2296" s="213" t="s">
        <v>972</v>
      </c>
      <c r="CU2296" s="213" t="s">
        <v>883</v>
      </c>
      <c r="CV2296" s="214" t="s">
        <v>973</v>
      </c>
      <c r="CX2296" s="212">
        <v>1</v>
      </c>
    </row>
    <row r="2297" spans="91:102" ht="21" customHeight="1">
      <c r="CM2297" s="210"/>
      <c r="CN2297" s="213" t="s">
        <v>6102</v>
      </c>
      <c r="CO2297" s="213" t="s">
        <v>875</v>
      </c>
      <c r="CP2297" s="213" t="s">
        <v>879</v>
      </c>
      <c r="CQ2297" s="213" t="s">
        <v>6103</v>
      </c>
      <c r="CR2297" s="213" t="s">
        <v>6103</v>
      </c>
      <c r="CS2297" s="213" t="s">
        <v>1620</v>
      </c>
      <c r="CT2297" s="213" t="s">
        <v>1621</v>
      </c>
      <c r="CU2297" s="213" t="s">
        <v>1622</v>
      </c>
      <c r="CV2297" s="214" t="s">
        <v>5812</v>
      </c>
      <c r="CX2297" s="212">
        <v>1</v>
      </c>
    </row>
    <row r="2298" spans="91:102" ht="21" customHeight="1">
      <c r="CM2298" s="210"/>
      <c r="CN2298" s="213" t="s">
        <v>6104</v>
      </c>
      <c r="CO2298" s="213" t="s">
        <v>875</v>
      </c>
      <c r="CP2298" s="213" t="s">
        <v>879</v>
      </c>
      <c r="CQ2298" s="213" t="s">
        <v>6105</v>
      </c>
      <c r="CR2298" s="213" t="s">
        <v>6105</v>
      </c>
      <c r="CS2298" s="213" t="s">
        <v>1620</v>
      </c>
      <c r="CT2298" s="213" t="s">
        <v>1621</v>
      </c>
      <c r="CU2298" s="213" t="s">
        <v>1622</v>
      </c>
      <c r="CV2298" s="214" t="s">
        <v>5812</v>
      </c>
      <c r="CX2298" s="212">
        <v>1</v>
      </c>
    </row>
    <row r="2299" spans="91:102" ht="21" customHeight="1">
      <c r="CM2299" s="210"/>
      <c r="CN2299" s="213" t="s">
        <v>6106</v>
      </c>
      <c r="CO2299" s="213" t="s">
        <v>875</v>
      </c>
      <c r="CP2299" s="213" t="s">
        <v>879</v>
      </c>
      <c r="CQ2299" s="213" t="s">
        <v>6107</v>
      </c>
      <c r="CR2299" s="213" t="s">
        <v>6107</v>
      </c>
      <c r="CS2299" s="213" t="s">
        <v>1620</v>
      </c>
      <c r="CT2299" s="213" t="s">
        <v>1621</v>
      </c>
      <c r="CU2299" s="213" t="s">
        <v>1622</v>
      </c>
      <c r="CV2299" s="214" t="s">
        <v>5812</v>
      </c>
      <c r="CX2299" s="212">
        <v>1</v>
      </c>
    </row>
    <row r="2300" spans="91:102" ht="21" customHeight="1">
      <c r="CM2300" s="210"/>
      <c r="CN2300" s="213" t="s">
        <v>6108</v>
      </c>
      <c r="CO2300" s="213" t="s">
        <v>875</v>
      </c>
      <c r="CP2300" s="213" t="s">
        <v>879</v>
      </c>
      <c r="CQ2300" s="213" t="s">
        <v>6109</v>
      </c>
      <c r="CR2300" s="213" t="s">
        <v>6109</v>
      </c>
      <c r="CS2300" s="213" t="s">
        <v>1620</v>
      </c>
      <c r="CT2300" s="213" t="s">
        <v>1621</v>
      </c>
      <c r="CU2300" s="213" t="s">
        <v>1622</v>
      </c>
      <c r="CV2300" s="214" t="s">
        <v>5812</v>
      </c>
      <c r="CX2300" s="212">
        <v>1</v>
      </c>
    </row>
    <row r="2301" spans="91:102" ht="21" customHeight="1">
      <c r="CM2301" s="210"/>
      <c r="CN2301" s="213" t="s">
        <v>6110</v>
      </c>
      <c r="CO2301" s="213" t="s">
        <v>875</v>
      </c>
      <c r="CP2301" s="213" t="s">
        <v>879</v>
      </c>
      <c r="CQ2301" s="213" t="s">
        <v>6111</v>
      </c>
      <c r="CR2301" s="213" t="s">
        <v>6111</v>
      </c>
      <c r="CS2301" s="213" t="s">
        <v>1620</v>
      </c>
      <c r="CT2301" s="213" t="s">
        <v>1621</v>
      </c>
      <c r="CU2301" s="213" t="s">
        <v>1622</v>
      </c>
      <c r="CV2301" s="214" t="s">
        <v>5812</v>
      </c>
      <c r="CX2301" s="212">
        <v>1</v>
      </c>
    </row>
    <row r="2302" spans="91:102" ht="21" customHeight="1">
      <c r="CM2302" s="210"/>
      <c r="CN2302" s="213" t="s">
        <v>6112</v>
      </c>
      <c r="CO2302" s="213" t="s">
        <v>875</v>
      </c>
      <c r="CP2302" s="213" t="s">
        <v>879</v>
      </c>
      <c r="CQ2302" s="213" t="s">
        <v>5376</v>
      </c>
      <c r="CR2302" s="213" t="s">
        <v>5376</v>
      </c>
      <c r="CS2302" s="213" t="s">
        <v>881</v>
      </c>
      <c r="CT2302" s="213" t="s">
        <v>5840</v>
      </c>
      <c r="CU2302" s="213" t="s">
        <v>883</v>
      </c>
      <c r="CV2302" s="214" t="s">
        <v>884</v>
      </c>
      <c r="CX2302" s="212">
        <v>1</v>
      </c>
    </row>
    <row r="2303" spans="91:102" ht="21" customHeight="1">
      <c r="CM2303" s="210"/>
      <c r="CN2303" s="213" t="s">
        <v>6113</v>
      </c>
      <c r="CO2303" s="213" t="s">
        <v>875</v>
      </c>
      <c r="CP2303" s="213" t="s">
        <v>879</v>
      </c>
      <c r="CQ2303" s="213" t="s">
        <v>5378</v>
      </c>
      <c r="CR2303" s="213" t="s">
        <v>5378</v>
      </c>
      <c r="CS2303" s="213" t="s">
        <v>881</v>
      </c>
      <c r="CT2303" s="213" t="s">
        <v>5840</v>
      </c>
      <c r="CU2303" s="213" t="s">
        <v>883</v>
      </c>
      <c r="CV2303" s="214" t="s">
        <v>884</v>
      </c>
      <c r="CX2303" s="212">
        <v>1</v>
      </c>
    </row>
    <row r="2304" spans="91:102" ht="21" customHeight="1">
      <c r="CM2304" s="210"/>
      <c r="CN2304" s="213" t="s">
        <v>6114</v>
      </c>
      <c r="CO2304" s="213" t="s">
        <v>875</v>
      </c>
      <c r="CP2304" s="213" t="s">
        <v>879</v>
      </c>
      <c r="CQ2304" s="213" t="s">
        <v>6115</v>
      </c>
      <c r="CR2304" s="213" t="s">
        <v>6115</v>
      </c>
      <c r="CS2304" s="213" t="s">
        <v>881</v>
      </c>
      <c r="CT2304" s="213" t="s">
        <v>5840</v>
      </c>
      <c r="CU2304" s="213" t="s">
        <v>883</v>
      </c>
      <c r="CV2304" s="214" t="s">
        <v>884</v>
      </c>
      <c r="CX2304" s="212">
        <v>1</v>
      </c>
    </row>
    <row r="2305" spans="91:102" ht="21" customHeight="1">
      <c r="CM2305" s="210"/>
      <c r="CN2305" s="213" t="s">
        <v>6116</v>
      </c>
      <c r="CO2305" s="213" t="s">
        <v>875</v>
      </c>
      <c r="CP2305" s="213" t="s">
        <v>879</v>
      </c>
      <c r="CQ2305" s="213" t="s">
        <v>6117</v>
      </c>
      <c r="CR2305" s="213" t="s">
        <v>6117</v>
      </c>
      <c r="CS2305" s="213" t="s">
        <v>1620</v>
      </c>
      <c r="CT2305" s="213" t="s">
        <v>1621</v>
      </c>
      <c r="CU2305" s="213" t="s">
        <v>1622</v>
      </c>
      <c r="CV2305" s="214" t="s">
        <v>5812</v>
      </c>
      <c r="CX2305" s="212">
        <v>1</v>
      </c>
    </row>
    <row r="2306" spans="91:102" ht="21" customHeight="1">
      <c r="CM2306" s="210"/>
      <c r="CN2306" s="213" t="s">
        <v>6118</v>
      </c>
      <c r="CO2306" s="213" t="s">
        <v>875</v>
      </c>
      <c r="CP2306" s="213" t="s">
        <v>879</v>
      </c>
      <c r="CQ2306" s="213" t="s">
        <v>6119</v>
      </c>
      <c r="CR2306" s="213" t="s">
        <v>6119</v>
      </c>
      <c r="CS2306" s="213" t="s">
        <v>1620</v>
      </c>
      <c r="CT2306" s="213" t="s">
        <v>1621</v>
      </c>
      <c r="CU2306" s="213" t="s">
        <v>1622</v>
      </c>
      <c r="CV2306" s="214" t="s">
        <v>5812</v>
      </c>
      <c r="CX2306" s="212">
        <v>1</v>
      </c>
    </row>
    <row r="2307" spans="91:102" ht="21" customHeight="1">
      <c r="CM2307" s="210"/>
      <c r="CN2307" s="213" t="s">
        <v>6120</v>
      </c>
      <c r="CO2307" s="213" t="s">
        <v>875</v>
      </c>
      <c r="CP2307" s="213" t="s">
        <v>879</v>
      </c>
      <c r="CQ2307" s="213" t="s">
        <v>6121</v>
      </c>
      <c r="CR2307" s="213" t="s">
        <v>6121</v>
      </c>
      <c r="CS2307" s="213" t="s">
        <v>1620</v>
      </c>
      <c r="CT2307" s="213" t="s">
        <v>1621</v>
      </c>
      <c r="CU2307" s="213" t="s">
        <v>1622</v>
      </c>
      <c r="CV2307" s="214" t="s">
        <v>5812</v>
      </c>
      <c r="CX2307" s="212">
        <v>1</v>
      </c>
    </row>
    <row r="2308" spans="91:102" ht="21" customHeight="1">
      <c r="CM2308" s="210"/>
      <c r="CN2308" s="213" t="s">
        <v>6122</v>
      </c>
      <c r="CO2308" s="213" t="s">
        <v>875</v>
      </c>
      <c r="CP2308" s="213" t="s">
        <v>879</v>
      </c>
      <c r="CQ2308" s="213" t="s">
        <v>6123</v>
      </c>
      <c r="CR2308" s="213" t="s">
        <v>6123</v>
      </c>
      <c r="CS2308" s="213" t="s">
        <v>1620</v>
      </c>
      <c r="CT2308" s="213" t="s">
        <v>1621</v>
      </c>
      <c r="CU2308" s="213" t="s">
        <v>1622</v>
      </c>
      <c r="CV2308" s="214" t="s">
        <v>5812</v>
      </c>
      <c r="CX2308" s="212">
        <v>1</v>
      </c>
    </row>
    <row r="2309" spans="91:102" ht="21" customHeight="1">
      <c r="CM2309" s="210"/>
      <c r="CN2309" s="213" t="s">
        <v>6124</v>
      </c>
      <c r="CO2309" s="213" t="s">
        <v>875</v>
      </c>
      <c r="CP2309" s="213" t="s">
        <v>879</v>
      </c>
      <c r="CQ2309" s="213" t="s">
        <v>6125</v>
      </c>
      <c r="CR2309" s="213" t="s">
        <v>6125</v>
      </c>
      <c r="CS2309" s="213" t="s">
        <v>1620</v>
      </c>
      <c r="CT2309" s="213" t="s">
        <v>1621</v>
      </c>
      <c r="CU2309" s="213" t="s">
        <v>1622</v>
      </c>
      <c r="CV2309" s="214" t="s">
        <v>5812</v>
      </c>
      <c r="CX2309" s="212">
        <v>1</v>
      </c>
    </row>
    <row r="2310" spans="91:102" ht="21" customHeight="1">
      <c r="CM2310" s="210"/>
      <c r="CN2310" s="213" t="s">
        <v>6126</v>
      </c>
      <c r="CO2310" s="213" t="s">
        <v>875</v>
      </c>
      <c r="CP2310" s="213" t="s">
        <v>879</v>
      </c>
      <c r="CQ2310" s="213" t="s">
        <v>6127</v>
      </c>
      <c r="CR2310" s="213" t="s">
        <v>6127</v>
      </c>
      <c r="CS2310" s="213" t="s">
        <v>881</v>
      </c>
      <c r="CT2310" s="213" t="s">
        <v>5840</v>
      </c>
      <c r="CU2310" s="213" t="s">
        <v>883</v>
      </c>
      <c r="CV2310" s="214" t="s">
        <v>884</v>
      </c>
      <c r="CX2310" s="212">
        <v>1</v>
      </c>
    </row>
    <row r="2311" spans="91:102" ht="21" customHeight="1">
      <c r="CM2311" s="210"/>
      <c r="CN2311" s="213" t="s">
        <v>6128</v>
      </c>
      <c r="CO2311" s="213" t="s">
        <v>875</v>
      </c>
      <c r="CP2311" s="213" t="s">
        <v>879</v>
      </c>
      <c r="CQ2311" s="213" t="s">
        <v>6129</v>
      </c>
      <c r="CR2311" s="213" t="s">
        <v>6129</v>
      </c>
      <c r="CS2311" s="213" t="s">
        <v>1620</v>
      </c>
      <c r="CT2311" s="213" t="s">
        <v>1621</v>
      </c>
      <c r="CU2311" s="213" t="s">
        <v>1622</v>
      </c>
      <c r="CV2311" s="214" t="s">
        <v>5812</v>
      </c>
      <c r="CX2311" s="212">
        <v>1</v>
      </c>
    </row>
    <row r="2312" spans="91:102" ht="21" customHeight="1">
      <c r="CM2312" s="210"/>
      <c r="CN2312" s="213" t="s">
        <v>6130</v>
      </c>
      <c r="CO2312" s="213" t="s">
        <v>875</v>
      </c>
      <c r="CP2312" s="213" t="s">
        <v>879</v>
      </c>
      <c r="CQ2312" s="213" t="s">
        <v>6131</v>
      </c>
      <c r="CR2312" s="213" t="s">
        <v>6131</v>
      </c>
      <c r="CS2312" s="213" t="s">
        <v>1620</v>
      </c>
      <c r="CT2312" s="213" t="s">
        <v>1621</v>
      </c>
      <c r="CU2312" s="213" t="s">
        <v>1622</v>
      </c>
      <c r="CV2312" s="214" t="s">
        <v>5812</v>
      </c>
      <c r="CX2312" s="212">
        <v>1</v>
      </c>
    </row>
    <row r="2313" spans="91:102" ht="21" customHeight="1">
      <c r="CM2313" s="210"/>
      <c r="CN2313" s="213" t="s">
        <v>6132</v>
      </c>
      <c r="CO2313" s="213" t="s">
        <v>875</v>
      </c>
      <c r="CP2313" s="213" t="s">
        <v>879</v>
      </c>
      <c r="CQ2313" s="213" t="s">
        <v>6133</v>
      </c>
      <c r="CR2313" s="213" t="s">
        <v>6133</v>
      </c>
      <c r="CS2313" s="213" t="s">
        <v>971</v>
      </c>
      <c r="CT2313" s="213" t="s">
        <v>972</v>
      </c>
      <c r="CU2313" s="213" t="s">
        <v>883</v>
      </c>
      <c r="CV2313" s="214" t="s">
        <v>973</v>
      </c>
      <c r="CX2313" s="212">
        <v>1</v>
      </c>
    </row>
    <row r="2314" spans="91:102" ht="21" customHeight="1">
      <c r="CM2314" s="210"/>
      <c r="CN2314" s="213" t="s">
        <v>6134</v>
      </c>
      <c r="CO2314" s="213" t="s">
        <v>875</v>
      </c>
      <c r="CP2314" s="213" t="s">
        <v>879</v>
      </c>
      <c r="CQ2314" s="213" t="s">
        <v>6135</v>
      </c>
      <c r="CR2314" s="213" t="s">
        <v>6135</v>
      </c>
      <c r="CS2314" s="213" t="s">
        <v>971</v>
      </c>
      <c r="CT2314" s="213" t="s">
        <v>972</v>
      </c>
      <c r="CU2314" s="213" t="s">
        <v>883</v>
      </c>
      <c r="CV2314" s="214" t="s">
        <v>973</v>
      </c>
      <c r="CX2314" s="212">
        <v>1</v>
      </c>
    </row>
    <row r="2315" spans="91:102" ht="21" customHeight="1">
      <c r="CM2315" s="210"/>
      <c r="CN2315" s="213" t="s">
        <v>6136</v>
      </c>
      <c r="CO2315" s="213" t="s">
        <v>875</v>
      </c>
      <c r="CP2315" s="213" t="s">
        <v>879</v>
      </c>
      <c r="CQ2315" s="213" t="s">
        <v>6137</v>
      </c>
      <c r="CR2315" s="213" t="s">
        <v>6137</v>
      </c>
      <c r="CS2315" s="213" t="s">
        <v>1620</v>
      </c>
      <c r="CT2315" s="213" t="s">
        <v>1621</v>
      </c>
      <c r="CU2315" s="213" t="s">
        <v>1622</v>
      </c>
      <c r="CV2315" s="214" t="s">
        <v>5812</v>
      </c>
      <c r="CX2315" s="212">
        <v>1</v>
      </c>
    </row>
    <row r="2316" spans="91:102" ht="21" customHeight="1">
      <c r="CM2316" s="210"/>
      <c r="CN2316" s="213" t="s">
        <v>6138</v>
      </c>
      <c r="CO2316" s="213" t="s">
        <v>875</v>
      </c>
      <c r="CP2316" s="213" t="s">
        <v>879</v>
      </c>
      <c r="CQ2316" s="213" t="s">
        <v>6139</v>
      </c>
      <c r="CR2316" s="213" t="s">
        <v>6139</v>
      </c>
      <c r="CS2316" s="213" t="s">
        <v>1620</v>
      </c>
      <c r="CT2316" s="213" t="s">
        <v>1621</v>
      </c>
      <c r="CU2316" s="213" t="s">
        <v>1622</v>
      </c>
      <c r="CV2316" s="214" t="s">
        <v>5812</v>
      </c>
      <c r="CX2316" s="212">
        <v>1</v>
      </c>
    </row>
    <row r="2317" spans="91:102" ht="21" customHeight="1">
      <c r="CM2317" s="210"/>
      <c r="CN2317" s="213" t="s">
        <v>6140</v>
      </c>
      <c r="CO2317" s="213" t="s">
        <v>875</v>
      </c>
      <c r="CP2317" s="213" t="s">
        <v>879</v>
      </c>
      <c r="CQ2317" s="213" t="s">
        <v>6141</v>
      </c>
      <c r="CR2317" s="213" t="s">
        <v>6141</v>
      </c>
      <c r="CS2317" s="213" t="s">
        <v>1620</v>
      </c>
      <c r="CT2317" s="213" t="s">
        <v>1621</v>
      </c>
      <c r="CU2317" s="213" t="s">
        <v>1622</v>
      </c>
      <c r="CV2317" s="214" t="s">
        <v>5812</v>
      </c>
      <c r="CX2317" s="212">
        <v>1</v>
      </c>
    </row>
    <row r="2318" spans="91:102" ht="21" customHeight="1">
      <c r="CM2318" s="210"/>
      <c r="CN2318" s="213" t="s">
        <v>6142</v>
      </c>
      <c r="CO2318" s="213" t="s">
        <v>875</v>
      </c>
      <c r="CP2318" s="213" t="s">
        <v>879</v>
      </c>
      <c r="CQ2318" s="213" t="s">
        <v>6143</v>
      </c>
      <c r="CR2318" s="213" t="s">
        <v>6143</v>
      </c>
      <c r="CS2318" s="213" t="s">
        <v>1620</v>
      </c>
      <c r="CT2318" s="213" t="s">
        <v>1621</v>
      </c>
      <c r="CU2318" s="213" t="s">
        <v>1622</v>
      </c>
      <c r="CV2318" s="214" t="s">
        <v>5812</v>
      </c>
      <c r="CX2318" s="212">
        <v>1</v>
      </c>
    </row>
    <row r="2319" spans="91:102" ht="21" customHeight="1">
      <c r="CM2319" s="210"/>
      <c r="CN2319" s="213" t="s">
        <v>6144</v>
      </c>
      <c r="CO2319" s="213" t="s">
        <v>875</v>
      </c>
      <c r="CP2319" s="213" t="s">
        <v>879</v>
      </c>
      <c r="CQ2319" s="213" t="s">
        <v>6145</v>
      </c>
      <c r="CR2319" s="213" t="s">
        <v>6145</v>
      </c>
      <c r="CS2319" s="213" t="s">
        <v>1620</v>
      </c>
      <c r="CT2319" s="213" t="s">
        <v>1621</v>
      </c>
      <c r="CU2319" s="213" t="s">
        <v>1622</v>
      </c>
      <c r="CV2319" s="214" t="s">
        <v>5812</v>
      </c>
      <c r="CX2319" s="212">
        <v>1</v>
      </c>
    </row>
    <row r="2320" spans="91:102" ht="21" customHeight="1">
      <c r="CM2320" s="210"/>
      <c r="CN2320" s="213" t="s">
        <v>6146</v>
      </c>
      <c r="CO2320" s="213" t="s">
        <v>875</v>
      </c>
      <c r="CP2320" s="213" t="s">
        <v>879</v>
      </c>
      <c r="CQ2320" s="213" t="s">
        <v>6147</v>
      </c>
      <c r="CR2320" s="213" t="s">
        <v>6147</v>
      </c>
      <c r="CS2320" s="213" t="s">
        <v>1620</v>
      </c>
      <c r="CT2320" s="213" t="s">
        <v>1621</v>
      </c>
      <c r="CU2320" s="213" t="s">
        <v>1622</v>
      </c>
      <c r="CV2320" s="214" t="s">
        <v>5812</v>
      </c>
      <c r="CX2320" s="212">
        <v>1</v>
      </c>
    </row>
    <row r="2321" spans="91:102" ht="21" customHeight="1">
      <c r="CM2321" s="210"/>
      <c r="CN2321" s="213" t="s">
        <v>6148</v>
      </c>
      <c r="CO2321" s="213" t="s">
        <v>875</v>
      </c>
      <c r="CP2321" s="213" t="s">
        <v>879</v>
      </c>
      <c r="CQ2321" s="213" t="s">
        <v>6149</v>
      </c>
      <c r="CR2321" s="213" t="s">
        <v>6149</v>
      </c>
      <c r="CS2321" s="213" t="s">
        <v>1620</v>
      </c>
      <c r="CT2321" s="213" t="s">
        <v>1621</v>
      </c>
      <c r="CU2321" s="213" t="s">
        <v>1622</v>
      </c>
      <c r="CV2321" s="214" t="s">
        <v>5812</v>
      </c>
      <c r="CX2321" s="212">
        <v>1</v>
      </c>
    </row>
    <row r="2322" spans="91:102" ht="21" customHeight="1">
      <c r="CM2322" s="210"/>
      <c r="CN2322" s="213" t="s">
        <v>6150</v>
      </c>
      <c r="CO2322" s="213" t="s">
        <v>875</v>
      </c>
      <c r="CP2322" s="213" t="s">
        <v>879</v>
      </c>
      <c r="CQ2322" s="213" t="s">
        <v>6151</v>
      </c>
      <c r="CR2322" s="213" t="s">
        <v>6151</v>
      </c>
      <c r="CS2322" s="213" t="s">
        <v>1620</v>
      </c>
      <c r="CT2322" s="213" t="s">
        <v>1621</v>
      </c>
      <c r="CU2322" s="213" t="s">
        <v>1622</v>
      </c>
      <c r="CV2322" s="214" t="s">
        <v>5812</v>
      </c>
      <c r="CX2322" s="212">
        <v>1</v>
      </c>
    </row>
    <row r="2323" spans="91:102" ht="21" customHeight="1">
      <c r="CM2323" s="210"/>
      <c r="CN2323" s="213" t="s">
        <v>6152</v>
      </c>
      <c r="CO2323" s="213" t="s">
        <v>875</v>
      </c>
      <c r="CP2323" s="213" t="s">
        <v>879</v>
      </c>
      <c r="CQ2323" s="213" t="s">
        <v>6153</v>
      </c>
      <c r="CR2323" s="213" t="s">
        <v>6153</v>
      </c>
      <c r="CS2323" s="213" t="s">
        <v>1620</v>
      </c>
      <c r="CT2323" s="213" t="s">
        <v>1621</v>
      </c>
      <c r="CU2323" s="213" t="s">
        <v>1622</v>
      </c>
      <c r="CV2323" s="214" t="s">
        <v>5812</v>
      </c>
      <c r="CX2323" s="212">
        <v>1</v>
      </c>
    </row>
    <row r="2324" spans="91:102" ht="21" customHeight="1">
      <c r="CM2324" s="210"/>
      <c r="CN2324" s="213" t="s">
        <v>6154</v>
      </c>
      <c r="CO2324" s="213" t="s">
        <v>875</v>
      </c>
      <c r="CP2324" s="213" t="s">
        <v>879</v>
      </c>
      <c r="CQ2324" s="213" t="s">
        <v>6155</v>
      </c>
      <c r="CR2324" s="213" t="s">
        <v>6155</v>
      </c>
      <c r="CS2324" s="213" t="s">
        <v>881</v>
      </c>
      <c r="CT2324" s="213" t="s">
        <v>5840</v>
      </c>
      <c r="CU2324" s="213" t="s">
        <v>883</v>
      </c>
      <c r="CV2324" s="214" t="s">
        <v>884</v>
      </c>
      <c r="CX2324" s="212">
        <v>1</v>
      </c>
    </row>
    <row r="2325" spans="91:102" ht="21" customHeight="1">
      <c r="CM2325" s="210"/>
      <c r="CN2325" s="213" t="s">
        <v>6156</v>
      </c>
      <c r="CO2325" s="213" t="s">
        <v>875</v>
      </c>
      <c r="CP2325" s="213" t="s">
        <v>879</v>
      </c>
      <c r="CQ2325" s="213" t="s">
        <v>6157</v>
      </c>
      <c r="CR2325" s="213" t="s">
        <v>6157</v>
      </c>
      <c r="CS2325" s="213" t="s">
        <v>1620</v>
      </c>
      <c r="CT2325" s="213" t="s">
        <v>1621</v>
      </c>
      <c r="CU2325" s="213" t="s">
        <v>1622</v>
      </c>
      <c r="CV2325" s="214" t="s">
        <v>5812</v>
      </c>
      <c r="CX2325" s="212">
        <v>1</v>
      </c>
    </row>
    <row r="2326" spans="91:102" ht="21" customHeight="1">
      <c r="CM2326" s="210"/>
      <c r="CN2326" s="213" t="s">
        <v>6158</v>
      </c>
      <c r="CO2326" s="213" t="s">
        <v>875</v>
      </c>
      <c r="CP2326" s="213" t="s">
        <v>879</v>
      </c>
      <c r="CQ2326" s="213" t="s">
        <v>6159</v>
      </c>
      <c r="CR2326" s="213" t="s">
        <v>6159</v>
      </c>
      <c r="CS2326" s="213" t="s">
        <v>1620</v>
      </c>
      <c r="CT2326" s="213" t="s">
        <v>1621</v>
      </c>
      <c r="CU2326" s="213" t="s">
        <v>1622</v>
      </c>
      <c r="CV2326" s="214" t="s">
        <v>5812</v>
      </c>
      <c r="CX2326" s="212">
        <v>1</v>
      </c>
    </row>
    <row r="2327" spans="91:102" ht="21" customHeight="1">
      <c r="CM2327" s="210"/>
      <c r="CN2327" s="213" t="s">
        <v>6160</v>
      </c>
      <c r="CO2327" s="213" t="s">
        <v>875</v>
      </c>
      <c r="CP2327" s="213" t="s">
        <v>879</v>
      </c>
      <c r="CQ2327" s="213" t="s">
        <v>6161</v>
      </c>
      <c r="CR2327" s="213" t="s">
        <v>6161</v>
      </c>
      <c r="CS2327" s="213" t="s">
        <v>1620</v>
      </c>
      <c r="CT2327" s="213" t="s">
        <v>1621</v>
      </c>
      <c r="CU2327" s="213" t="s">
        <v>1622</v>
      </c>
      <c r="CV2327" s="214" t="s">
        <v>5812</v>
      </c>
      <c r="CX2327" s="212">
        <v>1</v>
      </c>
    </row>
    <row r="2328" spans="91:102" ht="21" customHeight="1">
      <c r="CM2328" s="210"/>
      <c r="CN2328" s="213" t="s">
        <v>6162</v>
      </c>
      <c r="CO2328" s="213" t="s">
        <v>875</v>
      </c>
      <c r="CP2328" s="213" t="s">
        <v>879</v>
      </c>
      <c r="CQ2328" s="213" t="s">
        <v>6163</v>
      </c>
      <c r="CR2328" s="213" t="s">
        <v>6163</v>
      </c>
      <c r="CS2328" s="213" t="s">
        <v>1620</v>
      </c>
      <c r="CT2328" s="213" t="s">
        <v>1621</v>
      </c>
      <c r="CU2328" s="213" t="s">
        <v>1622</v>
      </c>
      <c r="CV2328" s="214" t="s">
        <v>5812</v>
      </c>
      <c r="CX2328" s="212">
        <v>1</v>
      </c>
    </row>
    <row r="2329" spans="91:102" ht="21" customHeight="1">
      <c r="CM2329" s="210"/>
      <c r="CN2329" s="213" t="s">
        <v>6164</v>
      </c>
      <c r="CO2329" s="213" t="s">
        <v>875</v>
      </c>
      <c r="CP2329" s="213" t="s">
        <v>879</v>
      </c>
      <c r="CQ2329" s="213" t="s">
        <v>6165</v>
      </c>
      <c r="CR2329" s="213" t="s">
        <v>6166</v>
      </c>
      <c r="CS2329" s="213" t="s">
        <v>881</v>
      </c>
      <c r="CT2329" s="213" t="s">
        <v>5840</v>
      </c>
      <c r="CU2329" s="213" t="s">
        <v>883</v>
      </c>
      <c r="CV2329" s="214" t="s">
        <v>884</v>
      </c>
      <c r="CX2329" s="212">
        <v>1</v>
      </c>
    </row>
    <row r="2330" spans="91:102" ht="21" customHeight="1">
      <c r="CM2330" s="210"/>
      <c r="CN2330" s="213" t="s">
        <v>6167</v>
      </c>
      <c r="CO2330" s="213" t="s">
        <v>875</v>
      </c>
      <c r="CP2330" s="213" t="s">
        <v>879</v>
      </c>
      <c r="CQ2330" s="213" t="s">
        <v>6168</v>
      </c>
      <c r="CR2330" s="213" t="s">
        <v>6169</v>
      </c>
      <c r="CS2330" s="213" t="s">
        <v>881</v>
      </c>
      <c r="CT2330" s="213" t="s">
        <v>5840</v>
      </c>
      <c r="CU2330" s="213" t="s">
        <v>883</v>
      </c>
      <c r="CV2330" s="214" t="s">
        <v>884</v>
      </c>
      <c r="CX2330" s="212">
        <v>1</v>
      </c>
    </row>
    <row r="2331" spans="91:102" ht="21" customHeight="1">
      <c r="CM2331" s="210"/>
      <c r="CN2331" s="213" t="s">
        <v>6170</v>
      </c>
      <c r="CO2331" s="213" t="s">
        <v>875</v>
      </c>
      <c r="CP2331" s="213" t="s">
        <v>879</v>
      </c>
      <c r="CQ2331" s="213" t="s">
        <v>6171</v>
      </c>
      <c r="CR2331" s="213" t="s">
        <v>6171</v>
      </c>
      <c r="CS2331" s="213" t="s">
        <v>1620</v>
      </c>
      <c r="CT2331" s="213" t="s">
        <v>1621</v>
      </c>
      <c r="CU2331" s="213" t="s">
        <v>1622</v>
      </c>
      <c r="CV2331" s="214" t="s">
        <v>5812</v>
      </c>
      <c r="CX2331" s="212">
        <v>1</v>
      </c>
    </row>
    <row r="2332" spans="91:102" ht="21" customHeight="1">
      <c r="CM2332" s="210"/>
      <c r="CN2332" s="213" t="s">
        <v>6172</v>
      </c>
      <c r="CO2332" s="213" t="s">
        <v>875</v>
      </c>
      <c r="CP2332" s="213" t="s">
        <v>879</v>
      </c>
      <c r="CQ2332" s="213" t="s">
        <v>6173</v>
      </c>
      <c r="CR2332" s="213" t="s">
        <v>6173</v>
      </c>
      <c r="CS2332" s="213" t="s">
        <v>1620</v>
      </c>
      <c r="CT2332" s="213" t="s">
        <v>1621</v>
      </c>
      <c r="CU2332" s="213" t="s">
        <v>1622</v>
      </c>
      <c r="CV2332" s="214" t="s">
        <v>5812</v>
      </c>
      <c r="CX2332" s="212">
        <v>1</v>
      </c>
    </row>
    <row r="2333" spans="91:102" ht="21" customHeight="1">
      <c r="CM2333" s="210"/>
      <c r="CN2333" s="213" t="s">
        <v>6174</v>
      </c>
      <c r="CO2333" s="213" t="s">
        <v>875</v>
      </c>
      <c r="CP2333" s="213" t="s">
        <v>879</v>
      </c>
      <c r="CQ2333" s="213" t="s">
        <v>6175</v>
      </c>
      <c r="CR2333" s="213" t="s">
        <v>6175</v>
      </c>
      <c r="CS2333" s="213" t="s">
        <v>1620</v>
      </c>
      <c r="CT2333" s="213" t="s">
        <v>1621</v>
      </c>
      <c r="CU2333" s="213" t="s">
        <v>1622</v>
      </c>
      <c r="CV2333" s="214" t="s">
        <v>5812</v>
      </c>
      <c r="CX2333" s="212">
        <v>1</v>
      </c>
    </row>
    <row r="2334" spans="91:102" ht="21" customHeight="1">
      <c r="CM2334" s="210"/>
      <c r="CN2334" s="213" t="s">
        <v>6176</v>
      </c>
      <c r="CO2334" s="213" t="s">
        <v>875</v>
      </c>
      <c r="CP2334" s="213" t="s">
        <v>879</v>
      </c>
      <c r="CQ2334" s="213" t="s">
        <v>6177</v>
      </c>
      <c r="CR2334" s="213" t="s">
        <v>6177</v>
      </c>
      <c r="CS2334" s="213" t="s">
        <v>881</v>
      </c>
      <c r="CT2334" s="213" t="s">
        <v>5840</v>
      </c>
      <c r="CU2334" s="213" t="s">
        <v>883</v>
      </c>
      <c r="CV2334" s="214" t="s">
        <v>884</v>
      </c>
      <c r="CX2334" s="212">
        <v>1</v>
      </c>
    </row>
    <row r="2335" spans="91:102" ht="21" customHeight="1">
      <c r="CM2335" s="210"/>
      <c r="CN2335" s="213" t="s">
        <v>6178</v>
      </c>
      <c r="CO2335" s="213" t="s">
        <v>875</v>
      </c>
      <c r="CP2335" s="213" t="s">
        <v>879</v>
      </c>
      <c r="CQ2335" s="213" t="s">
        <v>6179</v>
      </c>
      <c r="CR2335" s="213" t="s">
        <v>6179</v>
      </c>
      <c r="CS2335" s="213" t="s">
        <v>1620</v>
      </c>
      <c r="CT2335" s="213" t="s">
        <v>1621</v>
      </c>
      <c r="CU2335" s="213" t="s">
        <v>1622</v>
      </c>
      <c r="CV2335" s="214" t="s">
        <v>5812</v>
      </c>
      <c r="CX2335" s="212">
        <v>1</v>
      </c>
    </row>
    <row r="2336" spans="91:102" ht="21" customHeight="1">
      <c r="CM2336" s="210"/>
      <c r="CN2336" s="213" t="s">
        <v>6180</v>
      </c>
      <c r="CO2336" s="213" t="s">
        <v>875</v>
      </c>
      <c r="CP2336" s="213" t="s">
        <v>879</v>
      </c>
      <c r="CQ2336" s="213" t="s">
        <v>6181</v>
      </c>
      <c r="CR2336" s="213" t="s">
        <v>6181</v>
      </c>
      <c r="CS2336" s="213" t="s">
        <v>1620</v>
      </c>
      <c r="CT2336" s="213" t="s">
        <v>1621</v>
      </c>
      <c r="CU2336" s="213" t="s">
        <v>1622</v>
      </c>
      <c r="CV2336" s="214" t="s">
        <v>5812</v>
      </c>
      <c r="CX2336" s="212">
        <v>1</v>
      </c>
    </row>
    <row r="2337" spans="91:102" ht="21" customHeight="1">
      <c r="CM2337" s="210"/>
      <c r="CN2337" s="213" t="s">
        <v>6182</v>
      </c>
      <c r="CO2337" s="213" t="s">
        <v>875</v>
      </c>
      <c r="CP2337" s="213" t="s">
        <v>879</v>
      </c>
      <c r="CQ2337" s="213" t="s">
        <v>6183</v>
      </c>
      <c r="CR2337" s="213" t="s">
        <v>6183</v>
      </c>
      <c r="CS2337" s="213" t="s">
        <v>1620</v>
      </c>
      <c r="CT2337" s="213" t="s">
        <v>1621</v>
      </c>
      <c r="CU2337" s="213" t="s">
        <v>1622</v>
      </c>
      <c r="CV2337" s="214" t="s">
        <v>5812</v>
      </c>
      <c r="CX2337" s="212">
        <v>1</v>
      </c>
    </row>
    <row r="2338" spans="91:102" ht="21" customHeight="1">
      <c r="CM2338" s="210"/>
      <c r="CN2338" s="213" t="s">
        <v>6184</v>
      </c>
      <c r="CO2338" s="213" t="s">
        <v>875</v>
      </c>
      <c r="CP2338" s="213" t="s">
        <v>879</v>
      </c>
      <c r="CQ2338" s="213" t="s">
        <v>6185</v>
      </c>
      <c r="CR2338" s="213" t="s">
        <v>6185</v>
      </c>
      <c r="CS2338" s="213" t="s">
        <v>1620</v>
      </c>
      <c r="CT2338" s="213" t="s">
        <v>1621</v>
      </c>
      <c r="CU2338" s="213" t="s">
        <v>1622</v>
      </c>
      <c r="CV2338" s="214" t="s">
        <v>5812</v>
      </c>
      <c r="CX2338" s="212">
        <v>1</v>
      </c>
    </row>
    <row r="2339" spans="91:102" ht="21" customHeight="1">
      <c r="CM2339" s="210"/>
      <c r="CN2339" s="213" t="s">
        <v>6186</v>
      </c>
      <c r="CO2339" s="213" t="s">
        <v>875</v>
      </c>
      <c r="CP2339" s="213" t="s">
        <v>879</v>
      </c>
      <c r="CQ2339" s="213" t="s">
        <v>6187</v>
      </c>
      <c r="CR2339" s="213" t="s">
        <v>6187</v>
      </c>
      <c r="CS2339" s="213" t="s">
        <v>1620</v>
      </c>
      <c r="CT2339" s="213" t="s">
        <v>1621</v>
      </c>
      <c r="CU2339" s="213" t="s">
        <v>1622</v>
      </c>
      <c r="CV2339" s="214" t="s">
        <v>5812</v>
      </c>
      <c r="CX2339" s="212">
        <v>1</v>
      </c>
    </row>
    <row r="2340" spans="91:102" ht="21" customHeight="1">
      <c r="CM2340" s="210"/>
      <c r="CN2340" s="213" t="s">
        <v>6188</v>
      </c>
      <c r="CO2340" s="213" t="s">
        <v>875</v>
      </c>
      <c r="CP2340" s="213" t="s">
        <v>879</v>
      </c>
      <c r="CQ2340" s="213" t="s">
        <v>6189</v>
      </c>
      <c r="CR2340" s="213" t="s">
        <v>6189</v>
      </c>
      <c r="CS2340" s="213" t="s">
        <v>1620</v>
      </c>
      <c r="CT2340" s="213" t="s">
        <v>1621</v>
      </c>
      <c r="CU2340" s="213" t="s">
        <v>1622</v>
      </c>
      <c r="CV2340" s="214" t="s">
        <v>5812</v>
      </c>
      <c r="CX2340" s="212">
        <v>1</v>
      </c>
    </row>
    <row r="2341" spans="91:102" ht="21" customHeight="1">
      <c r="CM2341" s="210"/>
      <c r="CN2341" s="213" t="s">
        <v>6190</v>
      </c>
      <c r="CO2341" s="213" t="s">
        <v>875</v>
      </c>
      <c r="CP2341" s="213" t="s">
        <v>879</v>
      </c>
      <c r="CQ2341" s="213" t="s">
        <v>6191</v>
      </c>
      <c r="CR2341" s="213" t="s">
        <v>6191</v>
      </c>
      <c r="CS2341" s="213" t="s">
        <v>1620</v>
      </c>
      <c r="CT2341" s="213" t="s">
        <v>1621</v>
      </c>
      <c r="CU2341" s="213" t="s">
        <v>1622</v>
      </c>
      <c r="CV2341" s="214" t="s">
        <v>5812</v>
      </c>
      <c r="CX2341" s="212">
        <v>1</v>
      </c>
    </row>
    <row r="2342" spans="91:102" ht="21" customHeight="1">
      <c r="CM2342" s="210"/>
      <c r="CN2342" s="213" t="s">
        <v>6192</v>
      </c>
      <c r="CO2342" s="213" t="s">
        <v>875</v>
      </c>
      <c r="CP2342" s="213" t="s">
        <v>879</v>
      </c>
      <c r="CQ2342" s="213" t="s">
        <v>6193</v>
      </c>
      <c r="CR2342" s="213" t="s">
        <v>6193</v>
      </c>
      <c r="CS2342" s="213" t="s">
        <v>1620</v>
      </c>
      <c r="CT2342" s="213" t="s">
        <v>1621</v>
      </c>
      <c r="CU2342" s="213" t="s">
        <v>1622</v>
      </c>
      <c r="CV2342" s="214" t="s">
        <v>5812</v>
      </c>
      <c r="CX2342" s="212">
        <v>1</v>
      </c>
    </row>
    <row r="2343" spans="91:102" ht="21" customHeight="1">
      <c r="CM2343" s="210"/>
      <c r="CN2343" s="213" t="s">
        <v>6194</v>
      </c>
      <c r="CO2343" s="213" t="s">
        <v>875</v>
      </c>
      <c r="CP2343" s="213" t="s">
        <v>879</v>
      </c>
      <c r="CQ2343" s="213" t="s">
        <v>6195</v>
      </c>
      <c r="CR2343" s="213" t="s">
        <v>6195</v>
      </c>
      <c r="CS2343" s="213" t="s">
        <v>881</v>
      </c>
      <c r="CT2343" s="213" t="s">
        <v>5840</v>
      </c>
      <c r="CU2343" s="213" t="s">
        <v>883</v>
      </c>
      <c r="CV2343" s="214" t="s">
        <v>884</v>
      </c>
      <c r="CX2343" s="212">
        <v>1</v>
      </c>
    </row>
    <row r="2344" spans="91:102" ht="21" customHeight="1">
      <c r="CM2344" s="210"/>
      <c r="CN2344" s="213" t="s">
        <v>6196</v>
      </c>
      <c r="CO2344" s="213" t="s">
        <v>875</v>
      </c>
      <c r="CP2344" s="213" t="s">
        <v>879</v>
      </c>
      <c r="CQ2344" s="213" t="s">
        <v>6197</v>
      </c>
      <c r="CR2344" s="213" t="s">
        <v>6197</v>
      </c>
      <c r="CS2344" s="213" t="s">
        <v>1620</v>
      </c>
      <c r="CT2344" s="213" t="s">
        <v>1621</v>
      </c>
      <c r="CU2344" s="213" t="s">
        <v>1622</v>
      </c>
      <c r="CV2344" s="214" t="s">
        <v>5812</v>
      </c>
      <c r="CX2344" s="212">
        <v>1</v>
      </c>
    </row>
    <row r="2345" spans="91:102" ht="21" customHeight="1">
      <c r="CM2345" s="210"/>
      <c r="CN2345" s="213" t="s">
        <v>6198</v>
      </c>
      <c r="CO2345" s="213" t="s">
        <v>875</v>
      </c>
      <c r="CP2345" s="213" t="s">
        <v>879</v>
      </c>
      <c r="CQ2345" s="213" t="s">
        <v>6199</v>
      </c>
      <c r="CR2345" s="213" t="s">
        <v>6199</v>
      </c>
      <c r="CS2345" s="213" t="s">
        <v>1620</v>
      </c>
      <c r="CT2345" s="213" t="s">
        <v>1621</v>
      </c>
      <c r="CU2345" s="213" t="s">
        <v>1622</v>
      </c>
      <c r="CV2345" s="214" t="s">
        <v>5812</v>
      </c>
      <c r="CX2345" s="212">
        <v>1</v>
      </c>
    </row>
    <row r="2346" spans="91:102" ht="21" customHeight="1">
      <c r="CM2346" s="210"/>
      <c r="CN2346" s="213" t="s">
        <v>6200</v>
      </c>
      <c r="CO2346" s="213" t="s">
        <v>875</v>
      </c>
      <c r="CP2346" s="213" t="s">
        <v>879</v>
      </c>
      <c r="CQ2346" s="213" t="s">
        <v>6201</v>
      </c>
      <c r="CR2346" s="213" t="s">
        <v>6201</v>
      </c>
      <c r="CS2346" s="213" t="s">
        <v>881</v>
      </c>
      <c r="CT2346" s="213" t="s">
        <v>5840</v>
      </c>
      <c r="CU2346" s="213" t="s">
        <v>883</v>
      </c>
      <c r="CV2346" s="214" t="s">
        <v>884</v>
      </c>
      <c r="CX2346" s="212">
        <v>1</v>
      </c>
    </row>
    <row r="2347" spans="91:102" ht="21" customHeight="1">
      <c r="CM2347" s="210"/>
      <c r="CN2347" s="213" t="s">
        <v>6202</v>
      </c>
      <c r="CO2347" s="213" t="s">
        <v>875</v>
      </c>
      <c r="CP2347" s="213" t="s">
        <v>879</v>
      </c>
      <c r="CQ2347" s="213" t="s">
        <v>6203</v>
      </c>
      <c r="CR2347" s="213" t="s">
        <v>6203</v>
      </c>
      <c r="CS2347" s="213" t="s">
        <v>1620</v>
      </c>
      <c r="CT2347" s="213" t="s">
        <v>1621</v>
      </c>
      <c r="CU2347" s="213" t="s">
        <v>1622</v>
      </c>
      <c r="CV2347" s="214" t="s">
        <v>5812</v>
      </c>
      <c r="CX2347" s="212">
        <v>1</v>
      </c>
    </row>
    <row r="2348" spans="91:102" ht="21" customHeight="1">
      <c r="CM2348" s="210"/>
      <c r="CN2348" s="213" t="s">
        <v>6204</v>
      </c>
      <c r="CO2348" s="213" t="s">
        <v>875</v>
      </c>
      <c r="CP2348" s="213" t="s">
        <v>879</v>
      </c>
      <c r="CQ2348" s="213" t="s">
        <v>6205</v>
      </c>
      <c r="CR2348" s="213" t="s">
        <v>6205</v>
      </c>
      <c r="CS2348" s="213" t="s">
        <v>1620</v>
      </c>
      <c r="CT2348" s="213" t="s">
        <v>1621</v>
      </c>
      <c r="CU2348" s="213" t="s">
        <v>1622</v>
      </c>
      <c r="CV2348" s="214" t="s">
        <v>5812</v>
      </c>
      <c r="CX2348" s="212">
        <v>1</v>
      </c>
    </row>
    <row r="2349" spans="91:102" ht="21" customHeight="1">
      <c r="CM2349" s="210"/>
      <c r="CN2349" s="213" t="s">
        <v>6206</v>
      </c>
      <c r="CO2349" s="213" t="s">
        <v>875</v>
      </c>
      <c r="CP2349" s="213" t="s">
        <v>879</v>
      </c>
      <c r="CQ2349" s="213" t="s">
        <v>6207</v>
      </c>
      <c r="CR2349" s="213" t="s">
        <v>6207</v>
      </c>
      <c r="CS2349" s="213" t="s">
        <v>1620</v>
      </c>
      <c r="CT2349" s="213" t="s">
        <v>1621</v>
      </c>
      <c r="CU2349" s="213" t="s">
        <v>1622</v>
      </c>
      <c r="CV2349" s="214" t="s">
        <v>5812</v>
      </c>
      <c r="CX2349" s="212">
        <v>1</v>
      </c>
    </row>
    <row r="2350" spans="91:102" ht="21" customHeight="1">
      <c r="CM2350" s="210"/>
      <c r="CN2350" s="213" t="s">
        <v>6208</v>
      </c>
      <c r="CO2350" s="213" t="s">
        <v>875</v>
      </c>
      <c r="CP2350" s="213" t="s">
        <v>879</v>
      </c>
      <c r="CQ2350" s="213" t="s">
        <v>6209</v>
      </c>
      <c r="CR2350" s="213" t="s">
        <v>6209</v>
      </c>
      <c r="CS2350" s="213" t="s">
        <v>1620</v>
      </c>
      <c r="CT2350" s="213" t="s">
        <v>1621</v>
      </c>
      <c r="CU2350" s="213" t="s">
        <v>1622</v>
      </c>
      <c r="CV2350" s="214" t="s">
        <v>5812</v>
      </c>
      <c r="CX2350" s="212">
        <v>1</v>
      </c>
    </row>
    <row r="2351" spans="91:102" ht="21" customHeight="1">
      <c r="CM2351" s="210"/>
      <c r="CN2351" s="213" t="s">
        <v>6210</v>
      </c>
      <c r="CO2351" s="213" t="s">
        <v>875</v>
      </c>
      <c r="CP2351" s="213" t="s">
        <v>879</v>
      </c>
      <c r="CQ2351" s="213" t="s">
        <v>6211</v>
      </c>
      <c r="CR2351" s="213" t="s">
        <v>6211</v>
      </c>
      <c r="CS2351" s="213" t="s">
        <v>1620</v>
      </c>
      <c r="CT2351" s="213" t="s">
        <v>1621</v>
      </c>
      <c r="CU2351" s="213" t="s">
        <v>1622</v>
      </c>
      <c r="CV2351" s="214" t="s">
        <v>5812</v>
      </c>
      <c r="CX2351" s="212">
        <v>1</v>
      </c>
    </row>
    <row r="2352" spans="91:102" ht="21" customHeight="1">
      <c r="CM2352" s="210"/>
      <c r="CN2352" s="213" t="s">
        <v>6212</v>
      </c>
      <c r="CO2352" s="213" t="s">
        <v>875</v>
      </c>
      <c r="CP2352" s="213" t="s">
        <v>879</v>
      </c>
      <c r="CQ2352" s="213" t="s">
        <v>6213</v>
      </c>
      <c r="CR2352" s="213" t="s">
        <v>6213</v>
      </c>
      <c r="CS2352" s="213" t="s">
        <v>881</v>
      </c>
      <c r="CT2352" s="213" t="s">
        <v>5840</v>
      </c>
      <c r="CU2352" s="213" t="s">
        <v>883</v>
      </c>
      <c r="CV2352" s="214" t="s">
        <v>884</v>
      </c>
      <c r="CX2352" s="212">
        <v>1</v>
      </c>
    </row>
    <row r="2353" spans="91:102" ht="21" customHeight="1">
      <c r="CM2353" s="210"/>
      <c r="CN2353" s="213" t="s">
        <v>6214</v>
      </c>
      <c r="CO2353" s="213" t="s">
        <v>875</v>
      </c>
      <c r="CP2353" s="213" t="s">
        <v>879</v>
      </c>
      <c r="CQ2353" s="213" t="s">
        <v>6215</v>
      </c>
      <c r="CR2353" s="213" t="s">
        <v>6215</v>
      </c>
      <c r="CS2353" s="213" t="s">
        <v>1620</v>
      </c>
      <c r="CT2353" s="213" t="s">
        <v>1621</v>
      </c>
      <c r="CU2353" s="213" t="s">
        <v>1622</v>
      </c>
      <c r="CV2353" s="214" t="s">
        <v>5812</v>
      </c>
      <c r="CX2353" s="212">
        <v>1</v>
      </c>
    </row>
    <row r="2354" spans="91:102" ht="21" customHeight="1">
      <c r="CM2354" s="210"/>
      <c r="CN2354" s="213" t="s">
        <v>6216</v>
      </c>
      <c r="CO2354" s="213" t="s">
        <v>875</v>
      </c>
      <c r="CP2354" s="213" t="s">
        <v>879</v>
      </c>
      <c r="CQ2354" s="213" t="s">
        <v>6217</v>
      </c>
      <c r="CR2354" s="213" t="s">
        <v>6217</v>
      </c>
      <c r="CS2354" s="213" t="s">
        <v>881</v>
      </c>
      <c r="CT2354" s="213" t="s">
        <v>5840</v>
      </c>
      <c r="CU2354" s="213" t="s">
        <v>883</v>
      </c>
      <c r="CV2354" s="214" t="s">
        <v>884</v>
      </c>
      <c r="CX2354" s="212">
        <v>1</v>
      </c>
    </row>
    <row r="2355" spans="91:102" ht="21" customHeight="1">
      <c r="CM2355" s="210"/>
      <c r="CN2355" s="213" t="s">
        <v>6218</v>
      </c>
      <c r="CO2355" s="213" t="s">
        <v>875</v>
      </c>
      <c r="CP2355" s="213" t="s">
        <v>879</v>
      </c>
      <c r="CQ2355" s="213" t="s">
        <v>6219</v>
      </c>
      <c r="CR2355" s="213" t="s">
        <v>6219</v>
      </c>
      <c r="CS2355" s="213" t="s">
        <v>1620</v>
      </c>
      <c r="CT2355" s="213" t="s">
        <v>1621</v>
      </c>
      <c r="CU2355" s="213" t="s">
        <v>1622</v>
      </c>
      <c r="CV2355" s="214" t="s">
        <v>5812</v>
      </c>
      <c r="CX2355" s="212">
        <v>1</v>
      </c>
    </row>
    <row r="2356" spans="91:102" ht="21" customHeight="1">
      <c r="CM2356" s="210"/>
      <c r="CN2356" s="213" t="s">
        <v>6220</v>
      </c>
      <c r="CO2356" s="213" t="s">
        <v>875</v>
      </c>
      <c r="CP2356" s="213" t="s">
        <v>879</v>
      </c>
      <c r="CQ2356" s="213" t="s">
        <v>6221</v>
      </c>
      <c r="CR2356" s="213" t="s">
        <v>6222</v>
      </c>
      <c r="CS2356" s="213" t="s">
        <v>881</v>
      </c>
      <c r="CT2356" s="213" t="s">
        <v>5840</v>
      </c>
      <c r="CU2356" s="213" t="s">
        <v>883</v>
      </c>
      <c r="CV2356" s="214" t="s">
        <v>884</v>
      </c>
      <c r="CX2356" s="212">
        <v>1</v>
      </c>
    </row>
    <row r="2357" spans="91:102" ht="21" customHeight="1">
      <c r="CM2357" s="210"/>
      <c r="CN2357" s="213" t="s">
        <v>6223</v>
      </c>
      <c r="CO2357" s="213" t="s">
        <v>875</v>
      </c>
      <c r="CP2357" s="213" t="s">
        <v>879</v>
      </c>
      <c r="CQ2357" s="213" t="s">
        <v>6224</v>
      </c>
      <c r="CR2357" s="213" t="s">
        <v>6225</v>
      </c>
      <c r="CS2357" s="213" t="s">
        <v>881</v>
      </c>
      <c r="CT2357" s="213" t="s">
        <v>5840</v>
      </c>
      <c r="CU2357" s="213" t="s">
        <v>883</v>
      </c>
      <c r="CV2357" s="214" t="s">
        <v>884</v>
      </c>
      <c r="CX2357" s="212">
        <v>1</v>
      </c>
    </row>
    <row r="2358" spans="91:102" ht="21" customHeight="1">
      <c r="CM2358" s="210"/>
      <c r="CN2358" s="213" t="s">
        <v>6226</v>
      </c>
      <c r="CO2358" s="213" t="s">
        <v>875</v>
      </c>
      <c r="CP2358" s="213" t="s">
        <v>879</v>
      </c>
      <c r="CQ2358" s="213" t="s">
        <v>6227</v>
      </c>
      <c r="CR2358" s="213" t="s">
        <v>6227</v>
      </c>
      <c r="CS2358" s="213" t="s">
        <v>1620</v>
      </c>
      <c r="CT2358" s="213" t="s">
        <v>1621</v>
      </c>
      <c r="CU2358" s="213" t="s">
        <v>1622</v>
      </c>
      <c r="CV2358" s="214" t="s">
        <v>5812</v>
      </c>
      <c r="CX2358" s="212">
        <v>1</v>
      </c>
    </row>
    <row r="2359" spans="91:102" ht="21" customHeight="1">
      <c r="CM2359" s="210"/>
      <c r="CN2359" s="213" t="s">
        <v>6228</v>
      </c>
      <c r="CO2359" s="213" t="s">
        <v>875</v>
      </c>
      <c r="CP2359" s="213" t="s">
        <v>879</v>
      </c>
      <c r="CQ2359" s="213" t="s">
        <v>6229</v>
      </c>
      <c r="CR2359" s="213" t="s">
        <v>6229</v>
      </c>
      <c r="CS2359" s="213" t="s">
        <v>971</v>
      </c>
      <c r="CT2359" s="213" t="s">
        <v>972</v>
      </c>
      <c r="CU2359" s="213" t="s">
        <v>883</v>
      </c>
      <c r="CV2359" s="214" t="s">
        <v>973</v>
      </c>
      <c r="CX2359" s="212">
        <v>1</v>
      </c>
    </row>
    <row r="2360" spans="91:102" ht="21" customHeight="1">
      <c r="CM2360" s="210"/>
      <c r="CN2360" s="213" t="s">
        <v>6230</v>
      </c>
      <c r="CO2360" s="213" t="s">
        <v>875</v>
      </c>
      <c r="CP2360" s="213" t="s">
        <v>879</v>
      </c>
      <c r="CQ2360" s="213" t="s">
        <v>6231</v>
      </c>
      <c r="CR2360" s="213" t="s">
        <v>6231</v>
      </c>
      <c r="CS2360" s="213" t="s">
        <v>971</v>
      </c>
      <c r="CT2360" s="213" t="s">
        <v>972</v>
      </c>
      <c r="CU2360" s="213" t="s">
        <v>883</v>
      </c>
      <c r="CV2360" s="214" t="s">
        <v>973</v>
      </c>
      <c r="CX2360" s="212">
        <v>1</v>
      </c>
    </row>
    <row r="2361" spans="91:102" ht="21" customHeight="1">
      <c r="CM2361" s="210"/>
      <c r="CN2361" s="213" t="s">
        <v>6232</v>
      </c>
      <c r="CO2361" s="213" t="s">
        <v>875</v>
      </c>
      <c r="CP2361" s="213" t="s">
        <v>879</v>
      </c>
      <c r="CQ2361" s="213" t="s">
        <v>6233</v>
      </c>
      <c r="CR2361" s="213" t="s">
        <v>6233</v>
      </c>
      <c r="CS2361" s="213" t="s">
        <v>1620</v>
      </c>
      <c r="CT2361" s="213" t="s">
        <v>1621</v>
      </c>
      <c r="CU2361" s="213" t="s">
        <v>1622</v>
      </c>
      <c r="CV2361" s="214" t="s">
        <v>5812</v>
      </c>
      <c r="CX2361" s="212">
        <v>1</v>
      </c>
    </row>
    <row r="2362" spans="91:102" ht="21" customHeight="1">
      <c r="CM2362" s="210"/>
      <c r="CN2362" s="213" t="s">
        <v>6234</v>
      </c>
      <c r="CO2362" s="213" t="s">
        <v>875</v>
      </c>
      <c r="CP2362" s="213" t="s">
        <v>879</v>
      </c>
      <c r="CQ2362" s="213" t="s">
        <v>6235</v>
      </c>
      <c r="CR2362" s="213" t="s">
        <v>6235</v>
      </c>
      <c r="CS2362" s="213" t="s">
        <v>1620</v>
      </c>
      <c r="CT2362" s="213" t="s">
        <v>1621</v>
      </c>
      <c r="CU2362" s="213" t="s">
        <v>1622</v>
      </c>
      <c r="CV2362" s="214" t="s">
        <v>5812</v>
      </c>
      <c r="CX2362" s="212">
        <v>1</v>
      </c>
    </row>
    <row r="2363" spans="91:102" ht="21" customHeight="1">
      <c r="CM2363" s="210"/>
      <c r="CN2363" s="213" t="s">
        <v>6236</v>
      </c>
      <c r="CO2363" s="213" t="s">
        <v>875</v>
      </c>
      <c r="CP2363" s="213" t="s">
        <v>879</v>
      </c>
      <c r="CQ2363" s="213" t="s">
        <v>6237</v>
      </c>
      <c r="CR2363" s="213" t="s">
        <v>6237</v>
      </c>
      <c r="CS2363" s="213" t="s">
        <v>1620</v>
      </c>
      <c r="CT2363" s="213" t="s">
        <v>1621</v>
      </c>
      <c r="CU2363" s="213" t="s">
        <v>1622</v>
      </c>
      <c r="CV2363" s="214" t="s">
        <v>5812</v>
      </c>
      <c r="CX2363" s="212">
        <v>1</v>
      </c>
    </row>
    <row r="2364" spans="91:102" ht="21" customHeight="1">
      <c r="CM2364" s="210"/>
      <c r="CN2364" s="213" t="s">
        <v>6238</v>
      </c>
      <c r="CO2364" s="213" t="s">
        <v>875</v>
      </c>
      <c r="CP2364" s="213" t="s">
        <v>879</v>
      </c>
      <c r="CQ2364" s="213" t="s">
        <v>6239</v>
      </c>
      <c r="CR2364" s="213" t="s">
        <v>6239</v>
      </c>
      <c r="CS2364" s="213" t="s">
        <v>1620</v>
      </c>
      <c r="CT2364" s="213" t="s">
        <v>1621</v>
      </c>
      <c r="CU2364" s="213" t="s">
        <v>1622</v>
      </c>
      <c r="CV2364" s="214" t="s">
        <v>5812</v>
      </c>
      <c r="CX2364" s="212">
        <v>1</v>
      </c>
    </row>
    <row r="2365" spans="91:102" ht="21" customHeight="1">
      <c r="CM2365" s="210"/>
      <c r="CN2365" s="213" t="s">
        <v>6240</v>
      </c>
      <c r="CO2365" s="213" t="s">
        <v>875</v>
      </c>
      <c r="CP2365" s="213" t="s">
        <v>879</v>
      </c>
      <c r="CQ2365" s="213" t="s">
        <v>6241</v>
      </c>
      <c r="CR2365" s="213" t="s">
        <v>6241</v>
      </c>
      <c r="CS2365" s="213" t="s">
        <v>1620</v>
      </c>
      <c r="CT2365" s="213" t="s">
        <v>1621</v>
      </c>
      <c r="CU2365" s="213" t="s">
        <v>1622</v>
      </c>
      <c r="CV2365" s="214" t="s">
        <v>5812</v>
      </c>
      <c r="CX2365" s="212">
        <v>1</v>
      </c>
    </row>
    <row r="2366" spans="91:102" ht="21" customHeight="1">
      <c r="CM2366" s="210"/>
      <c r="CN2366" s="213" t="s">
        <v>6242</v>
      </c>
      <c r="CO2366" s="213" t="s">
        <v>875</v>
      </c>
      <c r="CP2366" s="213" t="s">
        <v>879</v>
      </c>
      <c r="CQ2366" s="213" t="s">
        <v>6243</v>
      </c>
      <c r="CR2366" s="213" t="s">
        <v>6243</v>
      </c>
      <c r="CS2366" s="213" t="s">
        <v>1620</v>
      </c>
      <c r="CT2366" s="213" t="s">
        <v>1621</v>
      </c>
      <c r="CU2366" s="213" t="s">
        <v>1622</v>
      </c>
      <c r="CV2366" s="214" t="s">
        <v>5812</v>
      </c>
      <c r="CX2366" s="212">
        <v>1</v>
      </c>
    </row>
    <row r="2367" spans="91:102" ht="21" customHeight="1">
      <c r="CM2367" s="210"/>
      <c r="CN2367" s="213" t="s">
        <v>6244</v>
      </c>
      <c r="CO2367" s="213" t="s">
        <v>875</v>
      </c>
      <c r="CP2367" s="213" t="s">
        <v>879</v>
      </c>
      <c r="CQ2367" s="213" t="s">
        <v>6245</v>
      </c>
      <c r="CR2367" s="213" t="s">
        <v>6245</v>
      </c>
      <c r="CS2367" s="213" t="s">
        <v>881</v>
      </c>
      <c r="CT2367" s="213" t="s">
        <v>5840</v>
      </c>
      <c r="CU2367" s="213" t="s">
        <v>883</v>
      </c>
      <c r="CV2367" s="214" t="s">
        <v>884</v>
      </c>
      <c r="CX2367" s="212">
        <v>1</v>
      </c>
    </row>
    <row r="2368" spans="91:102" ht="21" customHeight="1">
      <c r="CM2368" s="210"/>
      <c r="CN2368" s="213" t="s">
        <v>6246</v>
      </c>
      <c r="CO2368" s="213" t="s">
        <v>875</v>
      </c>
      <c r="CP2368" s="213" t="s">
        <v>879</v>
      </c>
      <c r="CQ2368" s="213" t="s">
        <v>6247</v>
      </c>
      <c r="CR2368" s="213" t="s">
        <v>6247</v>
      </c>
      <c r="CS2368" s="213" t="s">
        <v>1620</v>
      </c>
      <c r="CT2368" s="213" t="s">
        <v>1621</v>
      </c>
      <c r="CU2368" s="213" t="s">
        <v>1622</v>
      </c>
      <c r="CV2368" s="214" t="s">
        <v>5812</v>
      </c>
      <c r="CX2368" s="212">
        <v>1</v>
      </c>
    </row>
    <row r="2369" spans="91:102" ht="21" customHeight="1">
      <c r="CM2369" s="210"/>
      <c r="CN2369" s="213" t="s">
        <v>6248</v>
      </c>
      <c r="CO2369" s="213" t="s">
        <v>875</v>
      </c>
      <c r="CP2369" s="213" t="s">
        <v>879</v>
      </c>
      <c r="CQ2369" s="213" t="s">
        <v>6249</v>
      </c>
      <c r="CR2369" s="213" t="s">
        <v>6249</v>
      </c>
      <c r="CS2369" s="213" t="s">
        <v>1620</v>
      </c>
      <c r="CT2369" s="213" t="s">
        <v>1621</v>
      </c>
      <c r="CU2369" s="213" t="s">
        <v>1622</v>
      </c>
      <c r="CV2369" s="214" t="s">
        <v>5812</v>
      </c>
      <c r="CX2369" s="212">
        <v>1</v>
      </c>
    </row>
    <row r="2370" spans="91:102" ht="21" customHeight="1">
      <c r="CM2370" s="210"/>
      <c r="CN2370" s="213" t="s">
        <v>6250</v>
      </c>
      <c r="CO2370" s="213" t="s">
        <v>875</v>
      </c>
      <c r="CP2370" s="213" t="s">
        <v>879</v>
      </c>
      <c r="CQ2370" s="213" t="s">
        <v>6251</v>
      </c>
      <c r="CR2370" s="213" t="s">
        <v>6251</v>
      </c>
      <c r="CS2370" s="213" t="s">
        <v>1620</v>
      </c>
      <c r="CT2370" s="213" t="s">
        <v>1621</v>
      </c>
      <c r="CU2370" s="213" t="s">
        <v>1622</v>
      </c>
      <c r="CV2370" s="214" t="s">
        <v>5812</v>
      </c>
      <c r="CX2370" s="212">
        <v>1</v>
      </c>
    </row>
    <row r="2371" spans="91:102" ht="21" customHeight="1">
      <c r="CM2371" s="210"/>
      <c r="CN2371" s="213" t="s">
        <v>6252</v>
      </c>
      <c r="CO2371" s="213" t="s">
        <v>875</v>
      </c>
      <c r="CP2371" s="213" t="s">
        <v>879</v>
      </c>
      <c r="CQ2371" s="213" t="s">
        <v>6253</v>
      </c>
      <c r="CR2371" s="213" t="s">
        <v>6253</v>
      </c>
      <c r="CS2371" s="213" t="s">
        <v>1620</v>
      </c>
      <c r="CT2371" s="213" t="s">
        <v>1621</v>
      </c>
      <c r="CU2371" s="213" t="s">
        <v>1622</v>
      </c>
      <c r="CV2371" s="214" t="s">
        <v>5812</v>
      </c>
      <c r="CX2371" s="212">
        <v>1</v>
      </c>
    </row>
    <row r="2372" spans="91:102" ht="21" customHeight="1">
      <c r="CM2372" s="210"/>
      <c r="CN2372" s="213" t="s">
        <v>6254</v>
      </c>
      <c r="CO2372" s="213" t="s">
        <v>875</v>
      </c>
      <c r="CP2372" s="213" t="s">
        <v>879</v>
      </c>
      <c r="CQ2372" s="213" t="s">
        <v>6255</v>
      </c>
      <c r="CR2372" s="213" t="s">
        <v>6255</v>
      </c>
      <c r="CS2372" s="213" t="s">
        <v>1620</v>
      </c>
      <c r="CT2372" s="213" t="s">
        <v>1621</v>
      </c>
      <c r="CU2372" s="213" t="s">
        <v>1622</v>
      </c>
      <c r="CV2372" s="214" t="s">
        <v>5812</v>
      </c>
      <c r="CX2372" s="212">
        <v>1</v>
      </c>
    </row>
    <row r="2373" spans="91:102" ht="21" customHeight="1">
      <c r="CM2373" s="210"/>
      <c r="CN2373" s="213" t="s">
        <v>6256</v>
      </c>
      <c r="CO2373" s="213" t="s">
        <v>875</v>
      </c>
      <c r="CP2373" s="213" t="s">
        <v>879</v>
      </c>
      <c r="CQ2373" s="213" t="s">
        <v>6257</v>
      </c>
      <c r="CR2373" s="213" t="s">
        <v>6257</v>
      </c>
      <c r="CS2373" s="213" t="s">
        <v>971</v>
      </c>
      <c r="CT2373" s="213" t="s">
        <v>972</v>
      </c>
      <c r="CU2373" s="213" t="s">
        <v>883</v>
      </c>
      <c r="CV2373" s="214" t="s">
        <v>973</v>
      </c>
      <c r="CX2373" s="212">
        <v>1</v>
      </c>
    </row>
    <row r="2374" spans="91:102" ht="21" customHeight="1">
      <c r="CM2374" s="210"/>
      <c r="CN2374" s="213" t="s">
        <v>6258</v>
      </c>
      <c r="CO2374" s="213" t="s">
        <v>875</v>
      </c>
      <c r="CP2374" s="213" t="s">
        <v>879</v>
      </c>
      <c r="CQ2374" s="213" t="s">
        <v>6259</v>
      </c>
      <c r="CR2374" s="213" t="s">
        <v>6259</v>
      </c>
      <c r="CS2374" s="213" t="s">
        <v>1620</v>
      </c>
      <c r="CT2374" s="213" t="s">
        <v>1621</v>
      </c>
      <c r="CU2374" s="213" t="s">
        <v>1622</v>
      </c>
      <c r="CV2374" s="214" t="s">
        <v>5812</v>
      </c>
      <c r="CX2374" s="212">
        <v>1</v>
      </c>
    </row>
    <row r="2375" spans="91:102" ht="21" customHeight="1">
      <c r="CM2375" s="210"/>
      <c r="CN2375" s="213" t="s">
        <v>6260</v>
      </c>
      <c r="CO2375" s="213" t="s">
        <v>875</v>
      </c>
      <c r="CP2375" s="213" t="s">
        <v>879</v>
      </c>
      <c r="CQ2375" s="213" t="s">
        <v>6261</v>
      </c>
      <c r="CR2375" s="213" t="s">
        <v>6261</v>
      </c>
      <c r="CS2375" s="213" t="s">
        <v>1620</v>
      </c>
      <c r="CT2375" s="213" t="s">
        <v>1621</v>
      </c>
      <c r="CU2375" s="213" t="s">
        <v>1622</v>
      </c>
      <c r="CV2375" s="214" t="s">
        <v>5812</v>
      </c>
      <c r="CX2375" s="212">
        <v>1</v>
      </c>
    </row>
    <row r="2376" spans="91:102" ht="21" customHeight="1">
      <c r="CM2376" s="210"/>
      <c r="CN2376" s="213" t="s">
        <v>6262</v>
      </c>
      <c r="CO2376" s="213" t="s">
        <v>875</v>
      </c>
      <c r="CP2376" s="213" t="s">
        <v>879</v>
      </c>
      <c r="CQ2376" s="213" t="s">
        <v>6263</v>
      </c>
      <c r="CR2376" s="213" t="s">
        <v>6263</v>
      </c>
      <c r="CS2376" s="213" t="s">
        <v>1620</v>
      </c>
      <c r="CT2376" s="213" t="s">
        <v>1621</v>
      </c>
      <c r="CU2376" s="213" t="s">
        <v>1622</v>
      </c>
      <c r="CV2376" s="214" t="s">
        <v>5812</v>
      </c>
      <c r="CX2376" s="212">
        <v>1</v>
      </c>
    </row>
    <row r="2377" spans="91:102" ht="21" customHeight="1">
      <c r="CM2377" s="210"/>
      <c r="CN2377" s="213" t="s">
        <v>6264</v>
      </c>
      <c r="CO2377" s="213" t="s">
        <v>875</v>
      </c>
      <c r="CP2377" s="213" t="s">
        <v>879</v>
      </c>
      <c r="CQ2377" s="213" t="s">
        <v>6265</v>
      </c>
      <c r="CR2377" s="213" t="s">
        <v>6265</v>
      </c>
      <c r="CS2377" s="213" t="s">
        <v>1620</v>
      </c>
      <c r="CT2377" s="213" t="s">
        <v>1621</v>
      </c>
      <c r="CU2377" s="213" t="s">
        <v>1622</v>
      </c>
      <c r="CV2377" s="214" t="s">
        <v>5812</v>
      </c>
      <c r="CX2377" s="212">
        <v>1</v>
      </c>
    </row>
    <row r="2378" spans="91:102" ht="21" customHeight="1">
      <c r="CM2378" s="210"/>
      <c r="CN2378" s="213" t="s">
        <v>6266</v>
      </c>
      <c r="CO2378" s="213" t="s">
        <v>875</v>
      </c>
      <c r="CP2378" s="213" t="s">
        <v>879</v>
      </c>
      <c r="CQ2378" s="213" t="s">
        <v>6267</v>
      </c>
      <c r="CR2378" s="213" t="s">
        <v>6267</v>
      </c>
      <c r="CS2378" s="213" t="s">
        <v>881</v>
      </c>
      <c r="CT2378" s="213" t="s">
        <v>5840</v>
      </c>
      <c r="CU2378" s="213" t="s">
        <v>883</v>
      </c>
      <c r="CV2378" s="214" t="s">
        <v>884</v>
      </c>
      <c r="CX2378" s="212">
        <v>1</v>
      </c>
    </row>
    <row r="2379" spans="91:102" ht="21" customHeight="1">
      <c r="CM2379" s="210"/>
      <c r="CN2379" s="213" t="s">
        <v>6268</v>
      </c>
      <c r="CO2379" s="213" t="s">
        <v>875</v>
      </c>
      <c r="CP2379" s="213" t="s">
        <v>879</v>
      </c>
      <c r="CQ2379" s="213" t="s">
        <v>6269</v>
      </c>
      <c r="CR2379" s="213" t="s">
        <v>6269</v>
      </c>
      <c r="CS2379" s="213" t="s">
        <v>1620</v>
      </c>
      <c r="CT2379" s="213" t="s">
        <v>1621</v>
      </c>
      <c r="CU2379" s="213" t="s">
        <v>1622</v>
      </c>
      <c r="CV2379" s="214" t="s">
        <v>5812</v>
      </c>
      <c r="CX2379" s="212">
        <v>1</v>
      </c>
    </row>
    <row r="2380" spans="91:102" ht="21" customHeight="1">
      <c r="CM2380" s="210"/>
      <c r="CN2380" s="213" t="s">
        <v>6270</v>
      </c>
      <c r="CO2380" s="213" t="s">
        <v>875</v>
      </c>
      <c r="CP2380" s="213" t="s">
        <v>879</v>
      </c>
      <c r="CQ2380" s="213" t="s">
        <v>6271</v>
      </c>
      <c r="CR2380" s="213" t="s">
        <v>6271</v>
      </c>
      <c r="CS2380" s="213" t="s">
        <v>1620</v>
      </c>
      <c r="CT2380" s="213" t="s">
        <v>1621</v>
      </c>
      <c r="CU2380" s="213" t="s">
        <v>1622</v>
      </c>
      <c r="CV2380" s="214" t="s">
        <v>5812</v>
      </c>
      <c r="CX2380" s="212">
        <v>1</v>
      </c>
    </row>
    <row r="2381" spans="91:102" ht="21" customHeight="1">
      <c r="CM2381" s="210"/>
      <c r="CN2381" s="213" t="s">
        <v>6272</v>
      </c>
      <c r="CO2381" s="213" t="s">
        <v>875</v>
      </c>
      <c r="CP2381" s="213" t="s">
        <v>879</v>
      </c>
      <c r="CQ2381" s="213" t="s">
        <v>6273</v>
      </c>
      <c r="CR2381" s="213" t="s">
        <v>6273</v>
      </c>
      <c r="CS2381" s="213" t="s">
        <v>1620</v>
      </c>
      <c r="CT2381" s="213" t="s">
        <v>1621</v>
      </c>
      <c r="CU2381" s="213" t="s">
        <v>1622</v>
      </c>
      <c r="CV2381" s="214" t="s">
        <v>5812</v>
      </c>
      <c r="CX2381" s="212">
        <v>1</v>
      </c>
    </row>
    <row r="2382" spans="91:102" ht="21" customHeight="1">
      <c r="CM2382" s="210"/>
      <c r="CN2382" s="213" t="s">
        <v>6274</v>
      </c>
      <c r="CO2382" s="213" t="s">
        <v>875</v>
      </c>
      <c r="CP2382" s="213" t="s">
        <v>879</v>
      </c>
      <c r="CQ2382" s="213" t="s">
        <v>6275</v>
      </c>
      <c r="CR2382" s="213" t="s">
        <v>6275</v>
      </c>
      <c r="CS2382" s="213" t="s">
        <v>1620</v>
      </c>
      <c r="CT2382" s="213" t="s">
        <v>1621</v>
      </c>
      <c r="CU2382" s="213" t="s">
        <v>1622</v>
      </c>
      <c r="CV2382" s="214" t="s">
        <v>5812</v>
      </c>
      <c r="CX2382" s="212">
        <v>1</v>
      </c>
    </row>
    <row r="2383" spans="91:102" ht="21" customHeight="1">
      <c r="CM2383" s="210"/>
      <c r="CN2383" s="213" t="s">
        <v>6276</v>
      </c>
      <c r="CO2383" s="213" t="s">
        <v>875</v>
      </c>
      <c r="CP2383" s="213" t="s">
        <v>879</v>
      </c>
      <c r="CQ2383" s="213" t="s">
        <v>6277</v>
      </c>
      <c r="CR2383" s="213" t="s">
        <v>6277</v>
      </c>
      <c r="CS2383" s="213" t="s">
        <v>1620</v>
      </c>
      <c r="CT2383" s="213" t="s">
        <v>1621</v>
      </c>
      <c r="CU2383" s="213" t="s">
        <v>1622</v>
      </c>
      <c r="CV2383" s="214" t="s">
        <v>5812</v>
      </c>
      <c r="CX2383" s="212">
        <v>1</v>
      </c>
    </row>
    <row r="2384" spans="91:102" ht="21" customHeight="1">
      <c r="CM2384" s="210"/>
      <c r="CN2384" s="213" t="s">
        <v>6278</v>
      </c>
      <c r="CO2384" s="213" t="s">
        <v>875</v>
      </c>
      <c r="CP2384" s="213" t="s">
        <v>879</v>
      </c>
      <c r="CQ2384" s="213" t="s">
        <v>6279</v>
      </c>
      <c r="CR2384" s="213" t="s">
        <v>6279</v>
      </c>
      <c r="CS2384" s="213" t="s">
        <v>1620</v>
      </c>
      <c r="CT2384" s="213" t="s">
        <v>1621</v>
      </c>
      <c r="CU2384" s="213" t="s">
        <v>1622</v>
      </c>
      <c r="CV2384" s="214" t="s">
        <v>5812</v>
      </c>
      <c r="CX2384" s="212">
        <v>1</v>
      </c>
    </row>
    <row r="2385" spans="91:102" ht="21" customHeight="1">
      <c r="CM2385" s="210"/>
      <c r="CN2385" s="213" t="s">
        <v>6280</v>
      </c>
      <c r="CO2385" s="213" t="s">
        <v>875</v>
      </c>
      <c r="CP2385" s="213" t="s">
        <v>879</v>
      </c>
      <c r="CQ2385" s="213" t="s">
        <v>6281</v>
      </c>
      <c r="CR2385" s="213" t="s">
        <v>6281</v>
      </c>
      <c r="CS2385" s="213" t="s">
        <v>1620</v>
      </c>
      <c r="CT2385" s="213" t="s">
        <v>1621</v>
      </c>
      <c r="CU2385" s="213" t="s">
        <v>1622</v>
      </c>
      <c r="CV2385" s="214" t="s">
        <v>5812</v>
      </c>
      <c r="CX2385" s="212">
        <v>1</v>
      </c>
    </row>
    <row r="2386" spans="91:102" ht="21" customHeight="1">
      <c r="CM2386" s="210"/>
      <c r="CN2386" s="213" t="s">
        <v>6282</v>
      </c>
      <c r="CO2386" s="213" t="s">
        <v>875</v>
      </c>
      <c r="CP2386" s="213" t="s">
        <v>879</v>
      </c>
      <c r="CQ2386" s="213" t="s">
        <v>6283</v>
      </c>
      <c r="CR2386" s="213" t="s">
        <v>6283</v>
      </c>
      <c r="CS2386" s="213" t="s">
        <v>1620</v>
      </c>
      <c r="CT2386" s="213" t="s">
        <v>1621</v>
      </c>
      <c r="CU2386" s="213" t="s">
        <v>1622</v>
      </c>
      <c r="CV2386" s="214" t="s">
        <v>5812</v>
      </c>
      <c r="CX2386" s="212">
        <v>1</v>
      </c>
    </row>
    <row r="2387" spans="91:102" ht="21" customHeight="1">
      <c r="CM2387" s="210"/>
      <c r="CN2387" s="213" t="s">
        <v>6284</v>
      </c>
      <c r="CO2387" s="213" t="s">
        <v>875</v>
      </c>
      <c r="CP2387" s="213" t="s">
        <v>879</v>
      </c>
      <c r="CQ2387" s="213" t="s">
        <v>6285</v>
      </c>
      <c r="CR2387" s="213" t="s">
        <v>6285</v>
      </c>
      <c r="CS2387" s="213" t="s">
        <v>1620</v>
      </c>
      <c r="CT2387" s="213" t="s">
        <v>1621</v>
      </c>
      <c r="CU2387" s="213" t="s">
        <v>1622</v>
      </c>
      <c r="CV2387" s="214" t="s">
        <v>5812</v>
      </c>
      <c r="CX2387" s="212">
        <v>1</v>
      </c>
    </row>
    <row r="2388" spans="91:102" ht="21" customHeight="1">
      <c r="CM2388" s="210"/>
      <c r="CN2388" s="213" t="s">
        <v>6286</v>
      </c>
      <c r="CO2388" s="213" t="s">
        <v>875</v>
      </c>
      <c r="CP2388" s="213" t="s">
        <v>879</v>
      </c>
      <c r="CQ2388" s="213" t="s">
        <v>6287</v>
      </c>
      <c r="CR2388" s="213" t="s">
        <v>6287</v>
      </c>
      <c r="CS2388" s="213" t="s">
        <v>1620</v>
      </c>
      <c r="CT2388" s="213" t="s">
        <v>1621</v>
      </c>
      <c r="CU2388" s="213" t="s">
        <v>1622</v>
      </c>
      <c r="CV2388" s="214" t="s">
        <v>5812</v>
      </c>
      <c r="CX2388" s="212">
        <v>1</v>
      </c>
    </row>
    <row r="2389" spans="91:102" ht="21" customHeight="1">
      <c r="CM2389" s="210"/>
      <c r="CN2389" s="213" t="s">
        <v>6288</v>
      </c>
      <c r="CO2389" s="213" t="s">
        <v>875</v>
      </c>
      <c r="CP2389" s="213" t="s">
        <v>879</v>
      </c>
      <c r="CQ2389" s="213" t="s">
        <v>6289</v>
      </c>
      <c r="CR2389" s="213" t="s">
        <v>6289</v>
      </c>
      <c r="CS2389" s="213" t="s">
        <v>1620</v>
      </c>
      <c r="CT2389" s="213" t="s">
        <v>1621</v>
      </c>
      <c r="CU2389" s="213" t="s">
        <v>1622</v>
      </c>
      <c r="CV2389" s="214" t="s">
        <v>5812</v>
      </c>
      <c r="CX2389" s="212">
        <v>1</v>
      </c>
    </row>
    <row r="2390" spans="91:102" ht="21" customHeight="1">
      <c r="CM2390" s="210"/>
      <c r="CN2390" s="213" t="s">
        <v>6290</v>
      </c>
      <c r="CO2390" s="213" t="s">
        <v>875</v>
      </c>
      <c r="CP2390" s="213" t="s">
        <v>879</v>
      </c>
      <c r="CQ2390" s="213" t="s">
        <v>6291</v>
      </c>
      <c r="CR2390" s="213" t="s">
        <v>6291</v>
      </c>
      <c r="CS2390" s="213" t="s">
        <v>1620</v>
      </c>
      <c r="CT2390" s="213" t="s">
        <v>1621</v>
      </c>
      <c r="CU2390" s="213" t="s">
        <v>1622</v>
      </c>
      <c r="CV2390" s="214" t="s">
        <v>5812</v>
      </c>
      <c r="CX2390" s="212">
        <v>1</v>
      </c>
    </row>
    <row r="2391" spans="91:102" ht="21" customHeight="1">
      <c r="CM2391" s="210"/>
      <c r="CN2391" s="213" t="s">
        <v>6292</v>
      </c>
      <c r="CO2391" s="213" t="s">
        <v>875</v>
      </c>
      <c r="CP2391" s="213" t="s">
        <v>879</v>
      </c>
      <c r="CQ2391" s="213" t="s">
        <v>6293</v>
      </c>
      <c r="CR2391" s="213" t="s">
        <v>6293</v>
      </c>
      <c r="CS2391" s="213" t="s">
        <v>1620</v>
      </c>
      <c r="CT2391" s="213" t="s">
        <v>1621</v>
      </c>
      <c r="CU2391" s="213" t="s">
        <v>1622</v>
      </c>
      <c r="CV2391" s="214" t="s">
        <v>5812</v>
      </c>
      <c r="CX2391" s="212">
        <v>1</v>
      </c>
    </row>
    <row r="2392" spans="91:102" ht="21" customHeight="1">
      <c r="CM2392" s="210"/>
      <c r="CN2392" s="213" t="s">
        <v>6294</v>
      </c>
      <c r="CO2392" s="213" t="s">
        <v>875</v>
      </c>
      <c r="CP2392" s="213" t="s">
        <v>879</v>
      </c>
      <c r="CQ2392" s="213" t="s">
        <v>6295</v>
      </c>
      <c r="CR2392" s="213" t="s">
        <v>6295</v>
      </c>
      <c r="CS2392" s="213" t="s">
        <v>1620</v>
      </c>
      <c r="CT2392" s="213" t="s">
        <v>1621</v>
      </c>
      <c r="CU2392" s="213" t="s">
        <v>1622</v>
      </c>
      <c r="CV2392" s="214" t="s">
        <v>5812</v>
      </c>
      <c r="CX2392" s="212">
        <v>1</v>
      </c>
    </row>
    <row r="2393" spans="91:102" ht="21" customHeight="1">
      <c r="CM2393" s="210"/>
      <c r="CN2393" s="213" t="s">
        <v>6296</v>
      </c>
      <c r="CO2393" s="213" t="s">
        <v>875</v>
      </c>
      <c r="CP2393" s="213" t="s">
        <v>879</v>
      </c>
      <c r="CQ2393" s="213" t="s">
        <v>6297</v>
      </c>
      <c r="CR2393" s="213" t="s">
        <v>6297</v>
      </c>
      <c r="CS2393" s="213" t="s">
        <v>971</v>
      </c>
      <c r="CT2393" s="213" t="s">
        <v>972</v>
      </c>
      <c r="CU2393" s="213" t="s">
        <v>883</v>
      </c>
      <c r="CV2393" s="214" t="s">
        <v>973</v>
      </c>
      <c r="CX2393" s="212">
        <v>1</v>
      </c>
    </row>
    <row r="2394" spans="91:102" ht="21" customHeight="1">
      <c r="CM2394" s="210"/>
      <c r="CN2394" s="213" t="s">
        <v>6298</v>
      </c>
      <c r="CO2394" s="213" t="s">
        <v>875</v>
      </c>
      <c r="CP2394" s="213" t="s">
        <v>879</v>
      </c>
      <c r="CQ2394" s="213" t="s">
        <v>6299</v>
      </c>
      <c r="CR2394" s="213" t="s">
        <v>6299</v>
      </c>
      <c r="CS2394" s="213" t="s">
        <v>971</v>
      </c>
      <c r="CT2394" s="213" t="s">
        <v>972</v>
      </c>
      <c r="CU2394" s="213" t="s">
        <v>883</v>
      </c>
      <c r="CV2394" s="214" t="s">
        <v>973</v>
      </c>
      <c r="CX2394" s="212">
        <v>1</v>
      </c>
    </row>
    <row r="2395" spans="91:102" ht="21" customHeight="1">
      <c r="CM2395" s="210"/>
      <c r="CN2395" s="213" t="s">
        <v>6300</v>
      </c>
      <c r="CO2395" s="213" t="s">
        <v>875</v>
      </c>
      <c r="CP2395" s="213" t="s">
        <v>879</v>
      </c>
      <c r="CQ2395" s="213" t="s">
        <v>6301</v>
      </c>
      <c r="CR2395" s="213" t="s">
        <v>6301</v>
      </c>
      <c r="CS2395" s="213" t="s">
        <v>1620</v>
      </c>
      <c r="CT2395" s="213" t="s">
        <v>1621</v>
      </c>
      <c r="CU2395" s="213" t="s">
        <v>1622</v>
      </c>
      <c r="CV2395" s="214" t="s">
        <v>5812</v>
      </c>
      <c r="CX2395" s="212">
        <v>1</v>
      </c>
    </row>
    <row r="2396" spans="91:102" ht="21" customHeight="1">
      <c r="CM2396" s="210"/>
      <c r="CN2396" s="213" t="s">
        <v>6302</v>
      </c>
      <c r="CO2396" s="213" t="s">
        <v>875</v>
      </c>
      <c r="CP2396" s="213" t="s">
        <v>1290</v>
      </c>
      <c r="CQ2396" s="213" t="s">
        <v>6303</v>
      </c>
      <c r="CR2396" s="213" t="s">
        <v>6303</v>
      </c>
      <c r="CS2396" s="213" t="s">
        <v>881</v>
      </c>
      <c r="CT2396" s="213" t="s">
        <v>6304</v>
      </c>
      <c r="CU2396" s="213" t="s">
        <v>883</v>
      </c>
      <c r="CV2396" s="214" t="s">
        <v>884</v>
      </c>
      <c r="CX2396" s="212">
        <v>1</v>
      </c>
    </row>
    <row r="2397" spans="91:102" ht="21" customHeight="1">
      <c r="CM2397" s="210"/>
      <c r="CN2397" s="213" t="s">
        <v>6305</v>
      </c>
      <c r="CO2397" s="213" t="s">
        <v>875</v>
      </c>
      <c r="CP2397" s="213" t="s">
        <v>1290</v>
      </c>
      <c r="CQ2397" s="213" t="s">
        <v>6306</v>
      </c>
      <c r="CR2397" s="213" t="s">
        <v>6306</v>
      </c>
      <c r="CS2397" s="213" t="s">
        <v>881</v>
      </c>
      <c r="CT2397" s="213" t="s">
        <v>6304</v>
      </c>
      <c r="CU2397" s="213" t="s">
        <v>883</v>
      </c>
      <c r="CV2397" s="214" t="s">
        <v>884</v>
      </c>
      <c r="CX2397" s="212">
        <v>1</v>
      </c>
    </row>
    <row r="2398" spans="91:102" ht="21" customHeight="1">
      <c r="CM2398" s="210"/>
      <c r="CN2398" s="213" t="s">
        <v>6307</v>
      </c>
      <c r="CO2398" s="213" t="s">
        <v>875</v>
      </c>
      <c r="CP2398" s="213" t="s">
        <v>1290</v>
      </c>
      <c r="CQ2398" s="213" t="s">
        <v>6308</v>
      </c>
      <c r="CR2398" s="213" t="s">
        <v>6308</v>
      </c>
      <c r="CS2398" s="213" t="s">
        <v>881</v>
      </c>
      <c r="CT2398" s="213" t="s">
        <v>6304</v>
      </c>
      <c r="CU2398" s="213" t="s">
        <v>883</v>
      </c>
      <c r="CV2398" s="214" t="s">
        <v>884</v>
      </c>
      <c r="CX2398" s="212">
        <v>1</v>
      </c>
    </row>
    <row r="2399" spans="91:102" ht="21" customHeight="1">
      <c r="CM2399" s="210"/>
      <c r="CN2399" s="213" t="s">
        <v>6309</v>
      </c>
      <c r="CO2399" s="213" t="s">
        <v>875</v>
      </c>
      <c r="CP2399" s="213" t="s">
        <v>1290</v>
      </c>
      <c r="CQ2399" s="213" t="s">
        <v>6310</v>
      </c>
      <c r="CR2399" s="213" t="s">
        <v>6310</v>
      </c>
      <c r="CS2399" s="213" t="s">
        <v>881</v>
      </c>
      <c r="CT2399" s="213" t="s">
        <v>6304</v>
      </c>
      <c r="CU2399" s="213" t="s">
        <v>883</v>
      </c>
      <c r="CV2399" s="214" t="s">
        <v>884</v>
      </c>
      <c r="CX2399" s="212">
        <v>1</v>
      </c>
    </row>
    <row r="2400" spans="91:102" ht="21" customHeight="1">
      <c r="CM2400" s="210"/>
      <c r="CN2400" s="213" t="s">
        <v>6311</v>
      </c>
      <c r="CO2400" s="213" t="s">
        <v>875</v>
      </c>
      <c r="CP2400" s="213" t="s">
        <v>1290</v>
      </c>
      <c r="CQ2400" s="213" t="s">
        <v>6312</v>
      </c>
      <c r="CR2400" s="213" t="s">
        <v>6312</v>
      </c>
      <c r="CS2400" s="213" t="s">
        <v>881</v>
      </c>
      <c r="CT2400" s="213" t="s">
        <v>6304</v>
      </c>
      <c r="CU2400" s="213" t="s">
        <v>883</v>
      </c>
      <c r="CV2400" s="214" t="s">
        <v>884</v>
      </c>
      <c r="CX2400" s="212">
        <v>1</v>
      </c>
    </row>
    <row r="2401" spans="91:102" ht="21" customHeight="1">
      <c r="CM2401" s="210"/>
      <c r="CN2401" s="213" t="s">
        <v>6313</v>
      </c>
      <c r="CO2401" s="213" t="s">
        <v>875</v>
      </c>
      <c r="CP2401" s="213" t="s">
        <v>1290</v>
      </c>
      <c r="CQ2401" s="213" t="s">
        <v>6314</v>
      </c>
      <c r="CR2401" s="213" t="s">
        <v>6314</v>
      </c>
      <c r="CS2401" s="213" t="s">
        <v>881</v>
      </c>
      <c r="CT2401" s="213" t="s">
        <v>6304</v>
      </c>
      <c r="CU2401" s="213" t="s">
        <v>883</v>
      </c>
      <c r="CV2401" s="214" t="s">
        <v>884</v>
      </c>
      <c r="CX2401" s="212">
        <v>1</v>
      </c>
    </row>
    <row r="2402" spans="91:102" ht="21" customHeight="1">
      <c r="CM2402" s="210"/>
      <c r="CN2402" s="213" t="s">
        <v>6315</v>
      </c>
      <c r="CO2402" s="213" t="s">
        <v>875</v>
      </c>
      <c r="CP2402" s="213" t="s">
        <v>1290</v>
      </c>
      <c r="CQ2402" s="213" t="s">
        <v>1488</v>
      </c>
      <c r="CR2402" s="213" t="s">
        <v>1489</v>
      </c>
      <c r="CS2402" s="213" t="s">
        <v>971</v>
      </c>
      <c r="CT2402" s="213" t="s">
        <v>1292</v>
      </c>
      <c r="CU2402" s="213" t="s">
        <v>883</v>
      </c>
      <c r="CV2402" s="214" t="s">
        <v>973</v>
      </c>
      <c r="CX2402" s="212">
        <v>1</v>
      </c>
    </row>
    <row r="2403" spans="91:102" ht="21" customHeight="1">
      <c r="CM2403" s="210"/>
      <c r="CN2403" s="213" t="s">
        <v>6316</v>
      </c>
      <c r="CO2403" s="213" t="s">
        <v>875</v>
      </c>
      <c r="CP2403" s="213" t="s">
        <v>1290</v>
      </c>
      <c r="CQ2403" s="213" t="s">
        <v>1492</v>
      </c>
      <c r="CR2403" s="213" t="s">
        <v>1493</v>
      </c>
      <c r="CS2403" s="213" t="s">
        <v>881</v>
      </c>
      <c r="CT2403" s="213" t="s">
        <v>6304</v>
      </c>
      <c r="CU2403" s="213" t="s">
        <v>883</v>
      </c>
      <c r="CV2403" s="214" t="s">
        <v>884</v>
      </c>
      <c r="CX2403" s="212">
        <v>1</v>
      </c>
    </row>
    <row r="2404" spans="91:102" ht="21" customHeight="1">
      <c r="CM2404" s="210"/>
      <c r="CN2404" s="213" t="s">
        <v>6317</v>
      </c>
      <c r="CO2404" s="213" t="s">
        <v>875</v>
      </c>
      <c r="CP2404" s="213" t="s">
        <v>1290</v>
      </c>
      <c r="CQ2404" s="213" t="s">
        <v>1496</v>
      </c>
      <c r="CR2404" s="213" t="s">
        <v>1497</v>
      </c>
      <c r="CS2404" s="213" t="s">
        <v>881</v>
      </c>
      <c r="CT2404" s="213" t="s">
        <v>6304</v>
      </c>
      <c r="CU2404" s="213" t="s">
        <v>883</v>
      </c>
      <c r="CV2404" s="214" t="s">
        <v>884</v>
      </c>
      <c r="CX2404" s="212">
        <v>1</v>
      </c>
    </row>
    <row r="2405" spans="91:102" ht="21" customHeight="1">
      <c r="CM2405" s="210"/>
      <c r="CN2405" s="213" t="s">
        <v>6318</v>
      </c>
      <c r="CO2405" s="213" t="s">
        <v>875</v>
      </c>
      <c r="CP2405" s="213" t="s">
        <v>1290</v>
      </c>
      <c r="CQ2405" s="213" t="s">
        <v>1500</v>
      </c>
      <c r="CR2405" s="213" t="s">
        <v>1501</v>
      </c>
      <c r="CS2405" s="213" t="s">
        <v>971</v>
      </c>
      <c r="CT2405" s="213" t="s">
        <v>1292</v>
      </c>
      <c r="CU2405" s="213" t="s">
        <v>883</v>
      </c>
      <c r="CV2405" s="214" t="s">
        <v>973</v>
      </c>
      <c r="CX2405" s="212">
        <v>1</v>
      </c>
    </row>
    <row r="2406" spans="91:102" ht="21" customHeight="1">
      <c r="CM2406" s="210"/>
      <c r="CN2406" s="213" t="s">
        <v>6319</v>
      </c>
      <c r="CO2406" s="213" t="s">
        <v>875</v>
      </c>
      <c r="CP2406" s="213" t="s">
        <v>1290</v>
      </c>
      <c r="CQ2406" s="213" t="s">
        <v>1504</v>
      </c>
      <c r="CR2406" s="213" t="s">
        <v>1505</v>
      </c>
      <c r="CS2406" s="213" t="s">
        <v>971</v>
      </c>
      <c r="CT2406" s="213" t="s">
        <v>1292</v>
      </c>
      <c r="CU2406" s="213" t="s">
        <v>883</v>
      </c>
      <c r="CV2406" s="214" t="s">
        <v>973</v>
      </c>
      <c r="CX2406" s="212">
        <v>1</v>
      </c>
    </row>
    <row r="2407" spans="91:102" ht="21" customHeight="1">
      <c r="CM2407" s="210"/>
      <c r="CN2407" s="213" t="s">
        <v>6320</v>
      </c>
      <c r="CO2407" s="213" t="s">
        <v>875</v>
      </c>
      <c r="CP2407" s="213" t="s">
        <v>1290</v>
      </c>
      <c r="CQ2407" s="213" t="s">
        <v>1508</v>
      </c>
      <c r="CR2407" s="213" t="s">
        <v>1509</v>
      </c>
      <c r="CS2407" s="213" t="s">
        <v>971</v>
      </c>
      <c r="CT2407" s="213" t="s">
        <v>1292</v>
      </c>
      <c r="CU2407" s="213" t="s">
        <v>883</v>
      </c>
      <c r="CV2407" s="214" t="s">
        <v>973</v>
      </c>
      <c r="CX2407" s="212">
        <v>1</v>
      </c>
    </row>
    <row r="2408" spans="91:102" ht="21" customHeight="1">
      <c r="CM2408" s="210"/>
      <c r="CN2408" s="213" t="s">
        <v>6321</v>
      </c>
      <c r="CO2408" s="213" t="s">
        <v>875</v>
      </c>
      <c r="CP2408" s="213" t="s">
        <v>1290</v>
      </c>
      <c r="CQ2408" s="213" t="s">
        <v>1512</v>
      </c>
      <c r="CR2408" s="213" t="s">
        <v>1513</v>
      </c>
      <c r="CS2408" s="213" t="s">
        <v>881</v>
      </c>
      <c r="CT2408" s="213" t="s">
        <v>6304</v>
      </c>
      <c r="CU2408" s="213" t="s">
        <v>883</v>
      </c>
      <c r="CV2408" s="214" t="s">
        <v>884</v>
      </c>
      <c r="CX2408" s="212">
        <v>1</v>
      </c>
    </row>
    <row r="2409" spans="91:102" ht="21" customHeight="1">
      <c r="CM2409" s="210"/>
      <c r="CN2409" s="213" t="s">
        <v>6322</v>
      </c>
      <c r="CO2409" s="213" t="s">
        <v>875</v>
      </c>
      <c r="CP2409" s="213" t="s">
        <v>1290</v>
      </c>
      <c r="CQ2409" s="213" t="s">
        <v>6323</v>
      </c>
      <c r="CR2409" s="213" t="s">
        <v>6323</v>
      </c>
      <c r="CS2409" s="213" t="s">
        <v>881</v>
      </c>
      <c r="CT2409" s="213" t="s">
        <v>6304</v>
      </c>
      <c r="CU2409" s="213" t="s">
        <v>883</v>
      </c>
      <c r="CV2409" s="214" t="s">
        <v>884</v>
      </c>
      <c r="CX2409" s="212">
        <v>1</v>
      </c>
    </row>
    <row r="2410" spans="91:102" ht="21" customHeight="1">
      <c r="CM2410" s="210"/>
      <c r="CN2410" s="213" t="s">
        <v>6324</v>
      </c>
      <c r="CO2410" s="213" t="s">
        <v>875</v>
      </c>
      <c r="CP2410" s="213" t="s">
        <v>1290</v>
      </c>
      <c r="CQ2410" s="213" t="s">
        <v>6325</v>
      </c>
      <c r="CR2410" s="213" t="s">
        <v>6326</v>
      </c>
      <c r="CS2410" s="213" t="s">
        <v>881</v>
      </c>
      <c r="CT2410" s="213" t="s">
        <v>6304</v>
      </c>
      <c r="CU2410" s="213" t="s">
        <v>883</v>
      </c>
      <c r="CV2410" s="214" t="s">
        <v>884</v>
      </c>
      <c r="CX2410" s="212">
        <v>1</v>
      </c>
    </row>
    <row r="2411" spans="91:102" ht="21" customHeight="1">
      <c r="CM2411" s="210"/>
      <c r="CN2411" s="213" t="s">
        <v>6327</v>
      </c>
      <c r="CO2411" s="213" t="s">
        <v>875</v>
      </c>
      <c r="CP2411" s="213" t="s">
        <v>1290</v>
      </c>
      <c r="CQ2411" s="213" t="s">
        <v>6328</v>
      </c>
      <c r="CR2411" s="213" t="s">
        <v>6328</v>
      </c>
      <c r="CS2411" s="213" t="s">
        <v>881</v>
      </c>
      <c r="CT2411" s="213" t="s">
        <v>6304</v>
      </c>
      <c r="CU2411" s="213" t="s">
        <v>883</v>
      </c>
      <c r="CV2411" s="214" t="s">
        <v>884</v>
      </c>
      <c r="CX2411" s="212">
        <v>1</v>
      </c>
    </row>
    <row r="2412" spans="91:102" ht="21" customHeight="1">
      <c r="CM2412" s="210"/>
      <c r="CN2412" s="213" t="s">
        <v>6329</v>
      </c>
      <c r="CO2412" s="213" t="s">
        <v>875</v>
      </c>
      <c r="CP2412" s="213" t="s">
        <v>1543</v>
      </c>
      <c r="CQ2412" s="213" t="s">
        <v>4099</v>
      </c>
      <c r="CR2412" s="213" t="s">
        <v>4099</v>
      </c>
      <c r="CS2412" s="213" t="s">
        <v>881</v>
      </c>
      <c r="CT2412" s="213" t="s">
        <v>4097</v>
      </c>
      <c r="CU2412" s="213" t="s">
        <v>883</v>
      </c>
      <c r="CV2412" s="214" t="s">
        <v>884</v>
      </c>
      <c r="CX2412" s="212">
        <v>1</v>
      </c>
    </row>
    <row r="2413" spans="91:102" ht="21" customHeight="1">
      <c r="CM2413" s="210"/>
      <c r="CN2413" s="213" t="s">
        <v>6330</v>
      </c>
      <c r="CO2413" s="213" t="s">
        <v>875</v>
      </c>
      <c r="CP2413" s="213" t="s">
        <v>1543</v>
      </c>
      <c r="CQ2413" s="213" t="s">
        <v>4106</v>
      </c>
      <c r="CR2413" s="213" t="s">
        <v>4106</v>
      </c>
      <c r="CS2413" s="213" t="s">
        <v>881</v>
      </c>
      <c r="CT2413" s="213" t="s">
        <v>4097</v>
      </c>
      <c r="CU2413" s="213" t="s">
        <v>883</v>
      </c>
      <c r="CV2413" s="214" t="s">
        <v>884</v>
      </c>
      <c r="CX2413" s="212">
        <v>1</v>
      </c>
    </row>
    <row r="2414" spans="91:102" ht="21" customHeight="1">
      <c r="CM2414" s="210"/>
      <c r="CN2414" s="213" t="s">
        <v>6331</v>
      </c>
      <c r="CO2414" s="213" t="s">
        <v>875</v>
      </c>
      <c r="CP2414" s="213" t="s">
        <v>1543</v>
      </c>
      <c r="CQ2414" s="213" t="s">
        <v>6332</v>
      </c>
      <c r="CR2414" s="213" t="s">
        <v>6333</v>
      </c>
      <c r="CS2414" s="213" t="s">
        <v>881</v>
      </c>
      <c r="CT2414" s="213" t="s">
        <v>4097</v>
      </c>
      <c r="CU2414" s="213" t="s">
        <v>883</v>
      </c>
      <c r="CV2414" s="214" t="s">
        <v>884</v>
      </c>
      <c r="CX2414" s="212">
        <v>1</v>
      </c>
    </row>
    <row r="2415" spans="91:102" ht="21" customHeight="1">
      <c r="CM2415" s="210"/>
      <c r="CN2415" s="213" t="s">
        <v>6334</v>
      </c>
      <c r="CO2415" s="213" t="s">
        <v>875</v>
      </c>
      <c r="CP2415" s="213" t="s">
        <v>1543</v>
      </c>
      <c r="CQ2415" s="213" t="s">
        <v>6335</v>
      </c>
      <c r="CR2415" s="213" t="s">
        <v>6336</v>
      </c>
      <c r="CS2415" s="213" t="s">
        <v>881</v>
      </c>
      <c r="CT2415" s="213" t="s">
        <v>4097</v>
      </c>
      <c r="CU2415" s="213" t="s">
        <v>883</v>
      </c>
      <c r="CV2415" s="214" t="s">
        <v>884</v>
      </c>
      <c r="CX2415" s="212">
        <v>1</v>
      </c>
    </row>
    <row r="2416" spans="91:102" ht="21" customHeight="1">
      <c r="CM2416" s="210"/>
      <c r="CN2416" s="213" t="s">
        <v>6337</v>
      </c>
      <c r="CO2416" s="213" t="s">
        <v>875</v>
      </c>
      <c r="CP2416" s="213" t="s">
        <v>1543</v>
      </c>
      <c r="CQ2416" s="213" t="s">
        <v>3731</v>
      </c>
      <c r="CR2416" s="213" t="s">
        <v>3731</v>
      </c>
      <c r="CS2416" s="213" t="s">
        <v>881</v>
      </c>
      <c r="CT2416" s="213" t="s">
        <v>4097</v>
      </c>
      <c r="CU2416" s="213" t="s">
        <v>883</v>
      </c>
      <c r="CV2416" s="214" t="s">
        <v>884</v>
      </c>
      <c r="CX2416" s="212">
        <v>1</v>
      </c>
    </row>
    <row r="2417" spans="92:102" ht="21" customHeight="1">
      <c r="CN2417" s="213" t="s">
        <v>6338</v>
      </c>
      <c r="CO2417" s="213" t="s">
        <v>878</v>
      </c>
      <c r="CP2417" s="213" t="s">
        <v>1290</v>
      </c>
      <c r="CQ2417" s="213" t="s">
        <v>6339</v>
      </c>
      <c r="CR2417" s="213" t="s">
        <v>6339</v>
      </c>
      <c r="CS2417" s="213" t="s">
        <v>881</v>
      </c>
      <c r="CT2417" s="213" t="s">
        <v>6340</v>
      </c>
      <c r="CU2417" s="213" t="s">
        <v>883</v>
      </c>
      <c r="CV2417" s="214" t="s">
        <v>973</v>
      </c>
      <c r="CX2417" s="212">
        <v>1</v>
      </c>
    </row>
    <row r="2418" spans="92:102" ht="21" customHeight="1">
      <c r="CN2418" s="213" t="s">
        <v>6341</v>
      </c>
      <c r="CO2418" s="213" t="s">
        <v>878</v>
      </c>
      <c r="CP2418" s="213" t="s">
        <v>879</v>
      </c>
      <c r="CQ2418" s="213" t="s">
        <v>6342</v>
      </c>
      <c r="CR2418" s="213" t="s">
        <v>6342</v>
      </c>
      <c r="CS2418" s="213" t="s">
        <v>6343</v>
      </c>
      <c r="CT2418" s="213" t="s">
        <v>6344</v>
      </c>
      <c r="CU2418" s="213" t="s">
        <v>883</v>
      </c>
      <c r="CV2418" s="214" t="s">
        <v>973</v>
      </c>
      <c r="CX2418" s="212">
        <v>1</v>
      </c>
    </row>
    <row r="2419" spans="92:102" ht="21" customHeight="1">
      <c r="CN2419" s="213" t="s">
        <v>6345</v>
      </c>
      <c r="CO2419" s="213" t="s">
        <v>878</v>
      </c>
      <c r="CP2419" s="213" t="s">
        <v>879</v>
      </c>
      <c r="CQ2419" s="213" t="s">
        <v>6346</v>
      </c>
      <c r="CR2419" s="213" t="s">
        <v>6346</v>
      </c>
      <c r="CS2419" s="213" t="s">
        <v>6343</v>
      </c>
      <c r="CT2419" s="213" t="s">
        <v>6347</v>
      </c>
      <c r="CU2419" s="213" t="s">
        <v>883</v>
      </c>
      <c r="CV2419" s="214" t="s">
        <v>973</v>
      </c>
      <c r="CX2419" s="212">
        <v>1</v>
      </c>
    </row>
    <row r="2420" spans="92:102" ht="21" customHeight="1">
      <c r="CN2420" s="213" t="s">
        <v>6348</v>
      </c>
      <c r="CO2420" s="213" t="s">
        <v>878</v>
      </c>
      <c r="CP2420" s="213" t="s">
        <v>879</v>
      </c>
      <c r="CQ2420" s="213" t="s">
        <v>6349</v>
      </c>
      <c r="CR2420" s="213" t="s">
        <v>6349</v>
      </c>
      <c r="CS2420" s="213" t="s">
        <v>6343</v>
      </c>
      <c r="CT2420" s="213" t="s">
        <v>6350</v>
      </c>
      <c r="CU2420" s="213" t="s">
        <v>883</v>
      </c>
      <c r="CV2420" s="214" t="s">
        <v>973</v>
      </c>
      <c r="CX2420" s="212">
        <v>1</v>
      </c>
    </row>
    <row r="2421" spans="92:102" ht="21" customHeight="1">
      <c r="CN2421" s="213" t="s">
        <v>6351</v>
      </c>
      <c r="CO2421" s="213" t="s">
        <v>896</v>
      </c>
      <c r="CP2421" s="213" t="s">
        <v>879</v>
      </c>
      <c r="CQ2421" s="213" t="s">
        <v>6352</v>
      </c>
      <c r="CR2421" s="213" t="s">
        <v>6352</v>
      </c>
      <c r="CS2421" s="213" t="s">
        <v>6343</v>
      </c>
      <c r="CT2421" s="213" t="s">
        <v>6353</v>
      </c>
      <c r="CU2421" s="213" t="s">
        <v>883</v>
      </c>
      <c r="CV2421" s="214" t="s">
        <v>973</v>
      </c>
      <c r="CX2421" s="212">
        <v>1</v>
      </c>
    </row>
    <row r="2422" spans="92:102" ht="21" customHeight="1">
      <c r="CN2422" s="213" t="s">
        <v>6354</v>
      </c>
      <c r="CO2422" s="213" t="s">
        <v>896</v>
      </c>
      <c r="CP2422" s="213" t="s">
        <v>879</v>
      </c>
      <c r="CQ2422" s="213" t="s">
        <v>6355</v>
      </c>
      <c r="CR2422" s="213" t="s">
        <v>6355</v>
      </c>
      <c r="CS2422" s="213" t="s">
        <v>6343</v>
      </c>
      <c r="CT2422" s="213" t="s">
        <v>6356</v>
      </c>
      <c r="CU2422" s="213" t="s">
        <v>883</v>
      </c>
      <c r="CV2422" s="214" t="s">
        <v>973</v>
      </c>
      <c r="CX2422" s="212">
        <v>1</v>
      </c>
    </row>
    <row r="2423" spans="92:102" ht="21" customHeight="1">
      <c r="CN2423" s="213" t="s">
        <v>6357</v>
      </c>
      <c r="CO2423" s="213" t="s">
        <v>888</v>
      </c>
      <c r="CP2423" s="213" t="s">
        <v>879</v>
      </c>
      <c r="CQ2423" s="213" t="s">
        <v>6358</v>
      </c>
      <c r="CR2423" s="213" t="s">
        <v>6358</v>
      </c>
      <c r="CS2423" s="213" t="s">
        <v>6359</v>
      </c>
      <c r="CT2423" s="213" t="s">
        <v>6360</v>
      </c>
      <c r="CU2423" s="213" t="s">
        <v>883</v>
      </c>
      <c r="CV2423" s="214" t="s">
        <v>973</v>
      </c>
      <c r="CX2423" s="212">
        <v>1</v>
      </c>
    </row>
    <row r="2424" spans="92:102" ht="21" customHeight="1">
      <c r="CN2424" s="213" t="s">
        <v>6361</v>
      </c>
      <c r="CO2424" s="213" t="s">
        <v>888</v>
      </c>
      <c r="CP2424" s="213" t="s">
        <v>879</v>
      </c>
      <c r="CQ2424" s="213" t="s">
        <v>6362</v>
      </c>
      <c r="CR2424" s="213" t="s">
        <v>6362</v>
      </c>
      <c r="CS2424" s="213" t="s">
        <v>6359</v>
      </c>
      <c r="CT2424" s="213" t="s">
        <v>6363</v>
      </c>
      <c r="CU2424" s="213" t="s">
        <v>883</v>
      </c>
      <c r="CV2424" s="214" t="s">
        <v>973</v>
      </c>
      <c r="CX2424" s="212">
        <v>1</v>
      </c>
    </row>
    <row r="2425" spans="92:102" ht="21" customHeight="1">
      <c r="CN2425" s="213"/>
      <c r="CO2425" s="213"/>
      <c r="CP2425" s="213"/>
      <c r="CQ2425" s="213" t="s">
        <v>6364</v>
      </c>
      <c r="CR2425" s="213" t="s">
        <v>6365</v>
      </c>
      <c r="CS2425" s="213" t="s">
        <v>881</v>
      </c>
      <c r="CT2425" s="213" t="s">
        <v>6366</v>
      </c>
      <c r="CU2425" s="213" t="s">
        <v>1150</v>
      </c>
      <c r="CV2425" s="214" t="s">
        <v>973</v>
      </c>
      <c r="CX2425" s="212">
        <v>1</v>
      </c>
    </row>
    <row r="2426" spans="92:102" ht="21" customHeight="1">
      <c r="CN2426" s="213"/>
      <c r="CO2426" s="213"/>
      <c r="CP2426" s="213"/>
      <c r="CQ2426" s="213" t="s">
        <v>6367</v>
      </c>
      <c r="CR2426" s="213" t="s">
        <v>6368</v>
      </c>
      <c r="CS2426" s="213" t="s">
        <v>881</v>
      </c>
      <c r="CT2426" s="213" t="s">
        <v>6369</v>
      </c>
      <c r="CU2426" s="213" t="s">
        <v>1150</v>
      </c>
      <c r="CV2426" s="214" t="s">
        <v>973</v>
      </c>
      <c r="CX2426" s="212">
        <v>1</v>
      </c>
    </row>
    <row r="2427" spans="92:102" ht="21" customHeight="1">
      <c r="CN2427" s="213"/>
      <c r="CO2427" s="213"/>
      <c r="CP2427" s="213"/>
      <c r="CQ2427" s="213" t="s">
        <v>6370</v>
      </c>
      <c r="CR2427" s="213" t="s">
        <v>6371</v>
      </c>
      <c r="CS2427" s="213" t="s">
        <v>881</v>
      </c>
      <c r="CT2427" s="213" t="s">
        <v>6372</v>
      </c>
      <c r="CU2427" s="213" t="s">
        <v>1150</v>
      </c>
      <c r="CV2427" s="214" t="s">
        <v>973</v>
      </c>
      <c r="CX2427" s="212">
        <v>1</v>
      </c>
    </row>
    <row r="2428" spans="92:102" ht="21" customHeight="1">
      <c r="CN2428" s="213"/>
      <c r="CO2428" s="213"/>
      <c r="CP2428" s="213"/>
      <c r="CQ2428" s="213" t="s">
        <v>6373</v>
      </c>
      <c r="CR2428" s="213" t="s">
        <v>6374</v>
      </c>
      <c r="CS2428" s="213" t="s">
        <v>881</v>
      </c>
      <c r="CT2428" s="213" t="s">
        <v>6369</v>
      </c>
      <c r="CU2428" s="213" t="s">
        <v>1150</v>
      </c>
      <c r="CV2428" s="214" t="s">
        <v>973</v>
      </c>
      <c r="CX2428" s="212">
        <v>1</v>
      </c>
    </row>
    <row r="2429" spans="92:102" ht="21" customHeight="1">
      <c r="CN2429" s="213"/>
      <c r="CO2429" s="213"/>
      <c r="CP2429" s="213"/>
      <c r="CQ2429" s="213" t="s">
        <v>6375</v>
      </c>
      <c r="CR2429" s="213" t="s">
        <v>6376</v>
      </c>
      <c r="CS2429" s="213" t="s">
        <v>881</v>
      </c>
      <c r="CT2429" s="213" t="s">
        <v>6377</v>
      </c>
      <c r="CU2429" s="213" t="s">
        <v>1150</v>
      </c>
      <c r="CV2429" s="214" t="s">
        <v>973</v>
      </c>
      <c r="CX2429" s="212">
        <v>1</v>
      </c>
    </row>
    <row r="2430" spans="92:102" ht="21" customHeight="1">
      <c r="CN2430" s="213"/>
      <c r="CO2430" s="213"/>
      <c r="CP2430" s="213"/>
      <c r="CQ2430" s="213" t="s">
        <v>1147</v>
      </c>
      <c r="CR2430" s="213" t="s">
        <v>6378</v>
      </c>
      <c r="CS2430" s="213" t="s">
        <v>881</v>
      </c>
      <c r="CT2430" s="213" t="s">
        <v>6366</v>
      </c>
      <c r="CU2430" s="213" t="s">
        <v>1150</v>
      </c>
      <c r="CV2430" s="214" t="s">
        <v>973</v>
      </c>
      <c r="CX2430" s="212">
        <v>1</v>
      </c>
    </row>
    <row r="2431" spans="92:102" ht="21" customHeight="1">
      <c r="CN2431" s="213"/>
      <c r="CO2431" s="213"/>
      <c r="CP2431" s="213"/>
      <c r="CQ2431" s="213" t="s">
        <v>6379</v>
      </c>
      <c r="CR2431" s="213" t="s">
        <v>6380</v>
      </c>
      <c r="CS2431" s="213" t="s">
        <v>881</v>
      </c>
      <c r="CT2431" s="213" t="s">
        <v>6369</v>
      </c>
      <c r="CU2431" s="213" t="s">
        <v>1150</v>
      </c>
      <c r="CV2431" s="214" t="s">
        <v>973</v>
      </c>
      <c r="CX2431" s="212">
        <v>1</v>
      </c>
    </row>
    <row r="2432" spans="92:102" ht="21" customHeight="1">
      <c r="CN2432" s="213"/>
      <c r="CO2432" s="213"/>
      <c r="CP2432" s="213"/>
      <c r="CQ2432" s="213" t="s">
        <v>6381</v>
      </c>
      <c r="CR2432" s="213" t="s">
        <v>6382</v>
      </c>
      <c r="CS2432" s="213" t="s">
        <v>881</v>
      </c>
      <c r="CT2432" s="213" t="s">
        <v>6372</v>
      </c>
      <c r="CU2432" s="213" t="s">
        <v>1150</v>
      </c>
      <c r="CV2432" s="214" t="s">
        <v>973</v>
      </c>
      <c r="CX2432" s="212">
        <v>1</v>
      </c>
    </row>
    <row r="2433" spans="92:102" ht="21" customHeight="1">
      <c r="CN2433" s="213"/>
      <c r="CO2433" s="213"/>
      <c r="CP2433" s="213"/>
      <c r="CQ2433" s="213" t="s">
        <v>6383</v>
      </c>
      <c r="CR2433" s="213" t="s">
        <v>6384</v>
      </c>
      <c r="CS2433" s="213" t="s">
        <v>881</v>
      </c>
      <c r="CT2433" s="213" t="s">
        <v>6369</v>
      </c>
      <c r="CU2433" s="213" t="s">
        <v>1150</v>
      </c>
      <c r="CV2433" s="214" t="s">
        <v>973</v>
      </c>
      <c r="CX2433" s="212">
        <v>1</v>
      </c>
    </row>
    <row r="2434" spans="92:102" ht="21" customHeight="1">
      <c r="CN2434" s="213"/>
      <c r="CO2434" s="213"/>
      <c r="CP2434" s="213"/>
      <c r="CQ2434" s="213" t="s">
        <v>6385</v>
      </c>
      <c r="CR2434" s="213" t="s">
        <v>6386</v>
      </c>
      <c r="CS2434" s="213" t="s">
        <v>881</v>
      </c>
      <c r="CT2434" s="213" t="s">
        <v>6366</v>
      </c>
      <c r="CU2434" s="213" t="s">
        <v>1150</v>
      </c>
      <c r="CV2434" s="214" t="s">
        <v>973</v>
      </c>
      <c r="CX2434" s="212">
        <v>1</v>
      </c>
    </row>
    <row r="2435" spans="92:102" ht="21" customHeight="1">
      <c r="CN2435" s="213"/>
      <c r="CO2435" s="213"/>
      <c r="CP2435" s="213"/>
      <c r="CQ2435" s="213" t="s">
        <v>6387</v>
      </c>
      <c r="CR2435" s="213" t="s">
        <v>6388</v>
      </c>
      <c r="CS2435" s="213" t="s">
        <v>881</v>
      </c>
      <c r="CT2435" s="213" t="s">
        <v>6369</v>
      </c>
      <c r="CU2435" s="213" t="s">
        <v>1150</v>
      </c>
      <c r="CV2435" s="214" t="s">
        <v>973</v>
      </c>
      <c r="CX2435" s="212">
        <v>1</v>
      </c>
    </row>
    <row r="2436" spans="92:102" ht="21" customHeight="1">
      <c r="CN2436" s="213"/>
      <c r="CO2436" s="213"/>
      <c r="CP2436" s="213"/>
      <c r="CQ2436" s="213" t="s">
        <v>6389</v>
      </c>
      <c r="CR2436" s="213" t="s">
        <v>6390</v>
      </c>
      <c r="CS2436" s="213" t="s">
        <v>881</v>
      </c>
      <c r="CT2436" s="213" t="s">
        <v>6372</v>
      </c>
      <c r="CU2436" s="213" t="s">
        <v>1150</v>
      </c>
      <c r="CV2436" s="214" t="s">
        <v>973</v>
      </c>
      <c r="CX2436" s="212">
        <v>1</v>
      </c>
    </row>
    <row r="2437" spans="92:102" ht="21" customHeight="1">
      <c r="CN2437" s="213"/>
      <c r="CO2437" s="213"/>
      <c r="CP2437" s="213"/>
      <c r="CQ2437" s="213" t="s">
        <v>6391</v>
      </c>
      <c r="CR2437" s="213" t="s">
        <v>6392</v>
      </c>
      <c r="CS2437" s="213" t="s">
        <v>881</v>
      </c>
      <c r="CT2437" s="213" t="s">
        <v>6369</v>
      </c>
      <c r="CU2437" s="213" t="s">
        <v>1150</v>
      </c>
      <c r="CV2437" s="214" t="s">
        <v>973</v>
      </c>
      <c r="CX2437" s="212">
        <v>1</v>
      </c>
    </row>
    <row r="2438" spans="92:102" ht="21" customHeight="1">
      <c r="CN2438" s="213"/>
      <c r="CO2438" s="213"/>
      <c r="CP2438" s="213"/>
      <c r="CQ2438" s="213" t="s">
        <v>5764</v>
      </c>
      <c r="CR2438" s="213" t="s">
        <v>5764</v>
      </c>
      <c r="CS2438" s="213" t="s">
        <v>881</v>
      </c>
      <c r="CT2438" s="213" t="s">
        <v>6393</v>
      </c>
      <c r="CU2438" s="213" t="s">
        <v>1298</v>
      </c>
      <c r="CV2438" s="214" t="s">
        <v>973</v>
      </c>
      <c r="CX2438" s="212">
        <v>1</v>
      </c>
    </row>
    <row r="2439" spans="92:102" ht="21" customHeight="1">
      <c r="CN2439" s="213"/>
      <c r="CO2439" s="213"/>
      <c r="CP2439" s="213"/>
      <c r="CQ2439" s="213" t="s">
        <v>6394</v>
      </c>
      <c r="CR2439" s="213" t="s">
        <v>6394</v>
      </c>
      <c r="CS2439" s="213" t="s">
        <v>881</v>
      </c>
      <c r="CT2439" s="213" t="s">
        <v>6393</v>
      </c>
      <c r="CU2439" s="213" t="s">
        <v>1298</v>
      </c>
      <c r="CV2439" s="214" t="s">
        <v>973</v>
      </c>
      <c r="CX2439" s="212">
        <v>1</v>
      </c>
    </row>
    <row r="2440" spans="92:102" ht="21" customHeight="1">
      <c r="CN2440" s="213"/>
      <c r="CO2440" s="213"/>
      <c r="CP2440" s="213"/>
      <c r="CQ2440" s="213" t="s">
        <v>5751</v>
      </c>
      <c r="CR2440" s="213" t="s">
        <v>5751</v>
      </c>
      <c r="CS2440" s="213" t="s">
        <v>881</v>
      </c>
      <c r="CT2440" s="213" t="s">
        <v>6395</v>
      </c>
      <c r="CU2440" s="213" t="s">
        <v>1298</v>
      </c>
      <c r="CV2440" s="214" t="s">
        <v>973</v>
      </c>
      <c r="CX2440" s="212">
        <v>1</v>
      </c>
    </row>
    <row r="2441" spans="92:102" ht="21" customHeight="1">
      <c r="CN2441" s="213"/>
      <c r="CO2441" s="213"/>
      <c r="CP2441" s="213"/>
      <c r="CQ2441" s="213" t="s">
        <v>5688</v>
      </c>
      <c r="CR2441" s="213" t="s">
        <v>5688</v>
      </c>
      <c r="CS2441" s="213" t="s">
        <v>881</v>
      </c>
      <c r="CT2441" s="213" t="s">
        <v>6395</v>
      </c>
      <c r="CU2441" s="213" t="s">
        <v>1298</v>
      </c>
      <c r="CV2441" s="214" t="s">
        <v>973</v>
      </c>
      <c r="CX2441" s="212">
        <v>1</v>
      </c>
    </row>
    <row r="2442" spans="92:102" ht="21" customHeight="1">
      <c r="CN2442" s="213"/>
      <c r="CO2442" s="213"/>
      <c r="CP2442" s="213"/>
      <c r="CQ2442" s="213" t="s">
        <v>5696</v>
      </c>
      <c r="CR2442" s="213" t="s">
        <v>5697</v>
      </c>
      <c r="CS2442" s="213" t="s">
        <v>881</v>
      </c>
      <c r="CT2442" s="213" t="s">
        <v>6395</v>
      </c>
      <c r="CU2442" s="213" t="s">
        <v>1298</v>
      </c>
      <c r="CV2442" s="214" t="s">
        <v>973</v>
      </c>
      <c r="CX2442" s="212">
        <v>1</v>
      </c>
    </row>
    <row r="2443" spans="92:102" ht="21" customHeight="1">
      <c r="CN2443" s="213"/>
      <c r="CO2443" s="213"/>
      <c r="CP2443" s="213"/>
      <c r="CQ2443" s="213" t="s">
        <v>5684</v>
      </c>
      <c r="CR2443" s="213" t="s">
        <v>5684</v>
      </c>
      <c r="CS2443" s="213" t="s">
        <v>881</v>
      </c>
      <c r="CT2443" s="213" t="s">
        <v>6395</v>
      </c>
      <c r="CU2443" s="213" t="s">
        <v>1298</v>
      </c>
      <c r="CV2443" s="214" t="s">
        <v>973</v>
      </c>
      <c r="CX2443" s="212">
        <v>1</v>
      </c>
    </row>
    <row r="2444" spans="92:102" ht="21" customHeight="1">
      <c r="CN2444" s="213"/>
      <c r="CO2444" s="213"/>
      <c r="CP2444" s="213"/>
      <c r="CQ2444" s="213" t="s">
        <v>5732</v>
      </c>
      <c r="CR2444" s="213" t="s">
        <v>5732</v>
      </c>
      <c r="CS2444" s="213" t="s">
        <v>881</v>
      </c>
      <c r="CT2444" s="213" t="s">
        <v>6395</v>
      </c>
      <c r="CU2444" s="213" t="s">
        <v>1298</v>
      </c>
      <c r="CV2444" s="214" t="s">
        <v>973</v>
      </c>
      <c r="CX2444" s="212">
        <v>1</v>
      </c>
    </row>
    <row r="2445" spans="92:102" ht="21" customHeight="1">
      <c r="CN2445" s="213"/>
      <c r="CO2445" s="213"/>
      <c r="CP2445" s="213"/>
      <c r="CQ2445" s="213" t="s">
        <v>5727</v>
      </c>
      <c r="CR2445" s="213" t="s">
        <v>5727</v>
      </c>
      <c r="CS2445" s="213" t="s">
        <v>881</v>
      </c>
      <c r="CT2445" s="213" t="s">
        <v>6395</v>
      </c>
      <c r="CU2445" s="213" t="s">
        <v>1298</v>
      </c>
      <c r="CV2445" s="214" t="s">
        <v>973</v>
      </c>
      <c r="CX2445" s="212">
        <v>1</v>
      </c>
    </row>
    <row r="2446" spans="92:102" ht="21" customHeight="1">
      <c r="CN2446" s="213"/>
      <c r="CO2446" s="213"/>
      <c r="CP2446" s="213"/>
      <c r="CQ2446" s="213" t="s">
        <v>5743</v>
      </c>
      <c r="CR2446" s="213" t="s">
        <v>5743</v>
      </c>
      <c r="CS2446" s="213" t="s">
        <v>881</v>
      </c>
      <c r="CT2446" s="213" t="s">
        <v>6395</v>
      </c>
      <c r="CU2446" s="213" t="s">
        <v>1298</v>
      </c>
      <c r="CV2446" s="214" t="s">
        <v>973</v>
      </c>
      <c r="CX2446" s="212">
        <v>1</v>
      </c>
    </row>
    <row r="2447" spans="92:102" ht="21" customHeight="1">
      <c r="CN2447" s="213"/>
      <c r="CO2447" s="213"/>
      <c r="CP2447" s="213"/>
      <c r="CQ2447" s="213" t="s">
        <v>5769</v>
      </c>
      <c r="CR2447" s="213" t="s">
        <v>5770</v>
      </c>
      <c r="CS2447" s="213" t="s">
        <v>881</v>
      </c>
      <c r="CT2447" s="213" t="s">
        <v>6395</v>
      </c>
      <c r="CU2447" s="213" t="s">
        <v>1298</v>
      </c>
      <c r="CV2447" s="214" t="s">
        <v>973</v>
      </c>
      <c r="CX2447" s="212">
        <v>1</v>
      </c>
    </row>
    <row r="2448" spans="92:102" ht="21" customHeight="1">
      <c r="CN2448" s="213"/>
      <c r="CO2448" s="213"/>
      <c r="CP2448" s="213"/>
      <c r="CQ2448" s="213" t="s">
        <v>5717</v>
      </c>
      <c r="CR2448" s="213" t="s">
        <v>5718</v>
      </c>
      <c r="CS2448" s="213" t="s">
        <v>881</v>
      </c>
      <c r="CT2448" s="213" t="s">
        <v>6395</v>
      </c>
      <c r="CU2448" s="213" t="s">
        <v>1298</v>
      </c>
      <c r="CV2448" s="214" t="s">
        <v>973</v>
      </c>
      <c r="CX2448" s="212">
        <v>1</v>
      </c>
    </row>
    <row r="2449" spans="1:102" ht="21" customHeight="1">
      <c r="CN2449" s="213"/>
      <c r="CO2449" s="213"/>
      <c r="CP2449" s="213"/>
      <c r="CQ2449" s="213" t="s">
        <v>5749</v>
      </c>
      <c r="CR2449" s="213" t="s">
        <v>5749</v>
      </c>
      <c r="CS2449" s="213" t="s">
        <v>881</v>
      </c>
      <c r="CT2449" s="213" t="s">
        <v>6395</v>
      </c>
      <c r="CU2449" s="213" t="s">
        <v>1298</v>
      </c>
      <c r="CV2449" s="214" t="s">
        <v>973</v>
      </c>
      <c r="CX2449" s="212">
        <v>1</v>
      </c>
    </row>
    <row r="2450" spans="1:102" ht="21" customHeight="1">
      <c r="CN2450" s="213"/>
      <c r="CO2450" s="213"/>
      <c r="CP2450" s="213"/>
      <c r="CQ2450" s="213" t="s">
        <v>5713</v>
      </c>
      <c r="CR2450" s="213" t="s">
        <v>5713</v>
      </c>
      <c r="CS2450" s="213" t="s">
        <v>881</v>
      </c>
      <c r="CT2450" s="213" t="s">
        <v>6395</v>
      </c>
      <c r="CU2450" s="213" t="s">
        <v>1298</v>
      </c>
      <c r="CV2450" s="214" t="s">
        <v>973</v>
      </c>
      <c r="CX2450" s="212">
        <v>1</v>
      </c>
    </row>
    <row r="2451" spans="1:102" ht="21" customHeight="1">
      <c r="CN2451" s="213"/>
      <c r="CO2451" s="213"/>
      <c r="CP2451" s="213"/>
      <c r="CQ2451" s="213" t="s">
        <v>5741</v>
      </c>
      <c r="CR2451" s="213" t="s">
        <v>5741</v>
      </c>
      <c r="CS2451" s="213" t="s">
        <v>881</v>
      </c>
      <c r="CT2451" s="213" t="s">
        <v>6395</v>
      </c>
      <c r="CU2451" s="213" t="s">
        <v>1298</v>
      </c>
      <c r="CV2451" s="214" t="s">
        <v>973</v>
      </c>
      <c r="CX2451" s="212">
        <v>1</v>
      </c>
    </row>
    <row r="2452" spans="1:102" ht="21" customHeight="1">
      <c r="CN2452" s="213"/>
      <c r="CO2452" s="213"/>
      <c r="CP2452" s="213"/>
      <c r="CQ2452" s="213" t="s">
        <v>5747</v>
      </c>
      <c r="CR2452" s="213" t="s">
        <v>5747</v>
      </c>
      <c r="CS2452" s="213" t="s">
        <v>881</v>
      </c>
      <c r="CT2452" s="213" t="s">
        <v>6395</v>
      </c>
      <c r="CU2452" s="213" t="s">
        <v>1298</v>
      </c>
      <c r="CV2452" s="214" t="s">
        <v>973</v>
      </c>
      <c r="CX2452" s="212">
        <v>1</v>
      </c>
    </row>
    <row r="2453" spans="1:102" ht="21" customHeight="1">
      <c r="CN2453" s="291"/>
      <c r="CO2453" s="291"/>
      <c r="CP2453" s="291"/>
      <c r="CQ2453" s="291" t="s">
        <v>5767</v>
      </c>
      <c r="CR2453" s="291" t="s">
        <v>5767</v>
      </c>
      <c r="CS2453" s="291" t="s">
        <v>881</v>
      </c>
      <c r="CT2453" s="291" t="s">
        <v>6395</v>
      </c>
      <c r="CU2453" s="291" t="s">
        <v>1298</v>
      </c>
      <c r="CV2453" s="292" t="s">
        <v>973</v>
      </c>
      <c r="CX2453" s="212">
        <v>1</v>
      </c>
    </row>
    <row r="2454" spans="1:102" ht="21" customHeight="1">
      <c r="CP2454" s="293" t="s">
        <v>1543</v>
      </c>
      <c r="CQ2454" s="293" t="s">
        <v>6396</v>
      </c>
      <c r="CR2454" s="293" t="s">
        <v>6396</v>
      </c>
      <c r="CS2454" s="293" t="s">
        <v>881</v>
      </c>
      <c r="CT2454" s="293" t="s">
        <v>6397</v>
      </c>
      <c r="CU2454" s="293" t="s">
        <v>883</v>
      </c>
      <c r="CV2454" s="293" t="s">
        <v>884</v>
      </c>
      <c r="CX2454" s="212">
        <v>1</v>
      </c>
    </row>
    <row r="2455" spans="1:102" ht="21" customHeight="1">
      <c r="CO2455" s="293"/>
      <c r="CP2455" s="293" t="s">
        <v>2185</v>
      </c>
      <c r="CQ2455" s="293" t="s">
        <v>1097</v>
      </c>
      <c r="CR2455" s="293" t="s">
        <v>1097</v>
      </c>
      <c r="CS2455" s="293" t="s">
        <v>881</v>
      </c>
      <c r="CT2455" s="293" t="s">
        <v>6398</v>
      </c>
      <c r="CU2455" s="293" t="s">
        <v>1150</v>
      </c>
      <c r="CV2455" s="293" t="s">
        <v>6399</v>
      </c>
      <c r="CX2455" s="212">
        <v>1</v>
      </c>
    </row>
    <row r="2456" spans="1:102" ht="21" customHeight="1">
      <c r="CX2456" s="212">
        <v>1</v>
      </c>
    </row>
    <row r="2457" spans="1:102" ht="21" customHeight="1">
      <c r="CX2457" s="212">
        <v>1</v>
      </c>
    </row>
    <row r="2458" spans="1:102" ht="21" customHeight="1">
      <c r="CX2458" s="294" t="s">
        <v>842</v>
      </c>
    </row>
    <row r="2459" spans="1:102" ht="21" customHeight="1">
      <c r="A2459" s="212">
        <v>1</v>
      </c>
      <c r="B2459" s="212">
        <v>1</v>
      </c>
      <c r="C2459" s="212">
        <v>1</v>
      </c>
      <c r="D2459" s="212">
        <v>1</v>
      </c>
      <c r="E2459" s="212">
        <v>1</v>
      </c>
      <c r="F2459" s="212">
        <v>1</v>
      </c>
      <c r="G2459" s="212">
        <v>1</v>
      </c>
      <c r="H2459" s="212">
        <v>1</v>
      </c>
      <c r="I2459" s="212">
        <v>1</v>
      </c>
      <c r="J2459" s="212">
        <v>1</v>
      </c>
      <c r="K2459" s="212">
        <v>1</v>
      </c>
      <c r="L2459" s="212">
        <v>1</v>
      </c>
      <c r="M2459" s="212">
        <v>1</v>
      </c>
      <c r="N2459" s="212">
        <v>1</v>
      </c>
      <c r="O2459" s="212">
        <v>1</v>
      </c>
      <c r="P2459" s="212">
        <v>1</v>
      </c>
      <c r="Q2459" s="212">
        <v>1</v>
      </c>
      <c r="R2459" s="212">
        <v>1</v>
      </c>
      <c r="S2459" s="212">
        <v>1</v>
      </c>
      <c r="T2459" s="212">
        <v>1</v>
      </c>
      <c r="U2459" s="212">
        <v>1</v>
      </c>
      <c r="V2459" s="212">
        <v>1</v>
      </c>
      <c r="W2459" s="212">
        <v>1</v>
      </c>
      <c r="X2459" s="212">
        <v>1</v>
      </c>
      <c r="Y2459" s="212">
        <v>1</v>
      </c>
      <c r="Z2459" s="212">
        <v>1</v>
      </c>
      <c r="AA2459" s="212">
        <v>1</v>
      </c>
      <c r="AB2459" s="212">
        <v>1</v>
      </c>
      <c r="AC2459" s="212">
        <v>1</v>
      </c>
      <c r="AD2459" s="212">
        <v>1</v>
      </c>
      <c r="AE2459" s="212">
        <v>1</v>
      </c>
      <c r="AF2459" s="212">
        <v>1</v>
      </c>
      <c r="AG2459" s="212">
        <v>1</v>
      </c>
      <c r="AH2459" s="212">
        <v>1</v>
      </c>
      <c r="AI2459" s="212">
        <v>1</v>
      </c>
      <c r="AJ2459" s="212">
        <v>1</v>
      </c>
      <c r="AK2459" s="212">
        <v>1</v>
      </c>
      <c r="AL2459" s="212">
        <v>1</v>
      </c>
      <c r="AM2459" s="212">
        <v>1</v>
      </c>
      <c r="AN2459" s="212">
        <v>1</v>
      </c>
      <c r="AO2459" s="212">
        <v>1</v>
      </c>
      <c r="AP2459" s="212">
        <v>1</v>
      </c>
      <c r="AQ2459" s="212">
        <v>1</v>
      </c>
      <c r="AR2459" s="212">
        <v>1</v>
      </c>
      <c r="AS2459" s="212">
        <v>1</v>
      </c>
      <c r="AT2459" s="212">
        <v>1</v>
      </c>
      <c r="AU2459" s="212">
        <v>1</v>
      </c>
      <c r="AV2459" s="212">
        <v>1</v>
      </c>
      <c r="AW2459" s="212">
        <v>1</v>
      </c>
      <c r="AX2459" s="212">
        <v>1</v>
      </c>
      <c r="AY2459" s="212">
        <v>1</v>
      </c>
      <c r="AZ2459" s="212">
        <v>1</v>
      </c>
      <c r="BA2459" s="212">
        <v>1</v>
      </c>
      <c r="BB2459" s="212">
        <v>1</v>
      </c>
      <c r="BC2459" s="212">
        <v>1</v>
      </c>
      <c r="BD2459" s="212">
        <v>1</v>
      </c>
      <c r="BE2459" s="212">
        <v>1</v>
      </c>
      <c r="BF2459" s="212">
        <v>1</v>
      </c>
      <c r="BG2459" s="212">
        <v>1</v>
      </c>
      <c r="BH2459" s="212">
        <v>1</v>
      </c>
      <c r="BI2459" s="212">
        <v>1</v>
      </c>
      <c r="BJ2459" s="212">
        <v>1</v>
      </c>
      <c r="BK2459" s="212">
        <v>1</v>
      </c>
      <c r="BL2459" s="212">
        <v>1</v>
      </c>
      <c r="BM2459" s="212">
        <v>1</v>
      </c>
      <c r="BN2459" s="212">
        <v>1</v>
      </c>
      <c r="BO2459" s="212">
        <v>1</v>
      </c>
      <c r="BP2459" s="212">
        <v>1</v>
      </c>
      <c r="BQ2459" s="212">
        <v>1</v>
      </c>
      <c r="BR2459" s="212">
        <v>1</v>
      </c>
      <c r="BS2459" s="212">
        <v>1</v>
      </c>
      <c r="BT2459" s="212">
        <v>1</v>
      </c>
      <c r="BU2459" s="212">
        <v>1</v>
      </c>
      <c r="BV2459" s="212">
        <v>1</v>
      </c>
      <c r="BW2459" s="212">
        <v>1</v>
      </c>
      <c r="BX2459" s="212">
        <v>1</v>
      </c>
      <c r="BY2459" s="212">
        <v>1</v>
      </c>
      <c r="BZ2459" s="212">
        <v>1</v>
      </c>
      <c r="CA2459" s="212">
        <v>1</v>
      </c>
      <c r="CB2459" s="212">
        <v>1</v>
      </c>
      <c r="CC2459" s="212">
        <v>1</v>
      </c>
      <c r="CD2459" s="212">
        <v>1</v>
      </c>
      <c r="CE2459" s="212">
        <v>1</v>
      </c>
      <c r="CF2459" s="212">
        <v>1</v>
      </c>
      <c r="CG2459" s="212">
        <v>1</v>
      </c>
      <c r="CH2459" s="212">
        <v>1</v>
      </c>
      <c r="CI2459" s="212">
        <v>1</v>
      </c>
      <c r="CJ2459" s="212">
        <v>1</v>
      </c>
      <c r="CK2459" s="212">
        <v>1</v>
      </c>
      <c r="CL2459" s="212">
        <v>1</v>
      </c>
      <c r="CM2459" s="212">
        <v>1</v>
      </c>
      <c r="CN2459" s="212">
        <v>1</v>
      </c>
      <c r="CO2459" s="212">
        <v>1</v>
      </c>
      <c r="CP2459" s="212">
        <v>1</v>
      </c>
      <c r="CQ2459" s="212">
        <v>1</v>
      </c>
      <c r="CR2459" s="212">
        <v>1</v>
      </c>
      <c r="CS2459" s="212">
        <v>1</v>
      </c>
      <c r="CT2459" s="212">
        <v>1</v>
      </c>
      <c r="CU2459" s="212">
        <v>1</v>
      </c>
      <c r="CV2459" s="212">
        <v>1</v>
      </c>
      <c r="CW2459" s="212">
        <v>1</v>
      </c>
      <c r="CX2459" s="222" t="str">
        <f>ADDRESS(ROW(),COLUMN(),4)</f>
        <v>CX2459</v>
      </c>
    </row>
  </sheetData>
  <mergeCells count="7">
    <mergeCell ref="A94:S94"/>
    <mergeCell ref="A1:S1"/>
    <mergeCell ref="A2:S2"/>
    <mergeCell ref="A3:S3"/>
    <mergeCell ref="B5:D5"/>
    <mergeCell ref="A70:S70"/>
    <mergeCell ref="A80:S80"/>
  </mergeCells>
  <conditionalFormatting sqref="E7:R66">
    <cfRule type="expression" dxfId="1" priority="1">
      <formula>E7="X"</formula>
    </cfRule>
    <cfRule type="expression" dxfId="0" priority="2">
      <formula>E7="?"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22FD6-86F1-44E4-B948-06B8D8EDE90D}">
  <dimension ref="A1:AI337"/>
  <sheetViews>
    <sheetView showGridLines="0" zoomScaleNormal="100" workbookViewId="0">
      <selection activeCell="M11" sqref="M11"/>
    </sheetView>
  </sheetViews>
  <sheetFormatPr baseColWidth="10" defaultColWidth="9.140625" defaultRowHeight="15.75"/>
  <cols>
    <col min="2" max="2" width="17.42578125" customWidth="1"/>
    <col min="3" max="3" width="15.85546875" customWidth="1"/>
    <col min="4" max="4" width="28" customWidth="1"/>
    <col min="5" max="5" width="12.28515625" customWidth="1"/>
    <col min="6" max="6" width="13.5703125" customWidth="1"/>
    <col min="7" max="7" width="10" customWidth="1"/>
    <col min="8" max="8" width="12" customWidth="1"/>
    <col min="9" max="9" width="14" customWidth="1"/>
    <col min="10" max="10" width="12" customWidth="1"/>
    <col min="11" max="11" width="22" customWidth="1"/>
    <col min="12" max="12" width="12" customWidth="1"/>
    <col min="16" max="16" width="14.5703125" customWidth="1"/>
    <col min="17" max="17" width="21.140625" customWidth="1"/>
    <col min="18" max="18" width="38.28515625" bestFit="1" customWidth="1"/>
    <col min="19" max="19" width="25.5703125" customWidth="1"/>
    <col min="20" max="20" width="24.85546875" customWidth="1"/>
    <col min="24" max="24" width="29.7109375" customWidth="1"/>
    <col min="25" max="25" width="64" customWidth="1"/>
    <col min="26" max="26" width="59.85546875" customWidth="1"/>
    <col min="31" max="34" width="9.140625" style="451"/>
    <col min="35" max="35" width="80.28515625" style="451" customWidth="1"/>
  </cols>
  <sheetData>
    <row r="1" spans="1:35" thickTop="1">
      <c r="A1" s="449" t="str">
        <f>ADDRESS(ROW(),COLUMN(),4)</f>
        <v>A1</v>
      </c>
      <c r="B1" s="185" t="str">
        <f t="shared" ref="B1:L1" si="0">SUBSTITUTE(ADDRESS(1,COLUMN(),4),"1","")</f>
        <v>B</v>
      </c>
      <c r="C1" s="185" t="str">
        <f t="shared" si="0"/>
        <v>C</v>
      </c>
      <c r="D1" s="185" t="str">
        <f t="shared" si="0"/>
        <v>D</v>
      </c>
      <c r="E1" s="185" t="str">
        <f t="shared" si="0"/>
        <v>E</v>
      </c>
      <c r="F1" s="185" t="str">
        <f t="shared" si="0"/>
        <v>F</v>
      </c>
      <c r="G1" s="185" t="str">
        <f t="shared" si="0"/>
        <v>G</v>
      </c>
      <c r="H1" s="185" t="str">
        <f t="shared" si="0"/>
        <v>H</v>
      </c>
      <c r="I1" s="185" t="str">
        <f t="shared" si="0"/>
        <v>I</v>
      </c>
      <c r="J1" s="185" t="str">
        <f t="shared" si="0"/>
        <v>J</v>
      </c>
      <c r="K1" s="185" t="str">
        <f t="shared" si="0"/>
        <v>K</v>
      </c>
      <c r="L1" s="185" t="str">
        <f t="shared" si="0"/>
        <v>L</v>
      </c>
      <c r="P1" s="185" t="str">
        <f t="shared" ref="P1:T1" si="1">SUBSTITUTE(ADDRESS(1,COLUMN(),4),"1","")</f>
        <v>P</v>
      </c>
      <c r="Q1" s="185" t="str">
        <f t="shared" si="1"/>
        <v>Q</v>
      </c>
      <c r="R1" s="185" t="str">
        <f t="shared" si="1"/>
        <v>R</v>
      </c>
      <c r="S1" s="185" t="str">
        <f t="shared" si="1"/>
        <v>S</v>
      </c>
      <c r="T1" s="185" t="str">
        <f t="shared" si="1"/>
        <v>T</v>
      </c>
      <c r="W1" s="185" t="str">
        <f t="shared" ref="W1:Z1" si="2">SUBSTITUTE(ADDRESS(1,COLUMN(),4),"1","")</f>
        <v>W</v>
      </c>
      <c r="X1" s="185" t="str">
        <f t="shared" si="2"/>
        <v>X</v>
      </c>
      <c r="Y1" s="185" t="str">
        <f t="shared" si="2"/>
        <v>Y</v>
      </c>
      <c r="Z1" s="185" t="str">
        <f t="shared" si="2"/>
        <v>Z</v>
      </c>
      <c r="AE1" s="194"/>
      <c r="AF1" s="194"/>
      <c r="AG1" s="186">
        <v>1</v>
      </c>
      <c r="AH1" s="187" t="str">
        <f>SUBSTITUTE(ADDRESS(1,COLUMN(),4),"1","")</f>
        <v>AH</v>
      </c>
      <c r="AI1" s="188" t="str">
        <f>SUBSTITUTE(ADDRESS(1,COLUMN(),4),"1","")</f>
        <v>AI</v>
      </c>
    </row>
    <row r="2" spans="1:35">
      <c r="B2" s="450">
        <f t="shared" ref="B2:L2" ca="1" si="3">CELL("largeur",B2)</f>
        <v>17</v>
      </c>
      <c r="C2" s="450">
        <f t="shared" ca="1" si="3"/>
        <v>15</v>
      </c>
      <c r="D2" s="450">
        <f t="shared" ca="1" si="3"/>
        <v>27</v>
      </c>
      <c r="E2" s="450">
        <f t="shared" ca="1" si="3"/>
        <v>12</v>
      </c>
      <c r="F2" s="450">
        <f t="shared" ca="1" si="3"/>
        <v>13</v>
      </c>
      <c r="G2" s="450">
        <f t="shared" ca="1" si="3"/>
        <v>9</v>
      </c>
      <c r="H2" s="450">
        <f t="shared" ca="1" si="3"/>
        <v>11</v>
      </c>
      <c r="I2" s="450">
        <f t="shared" ca="1" si="3"/>
        <v>13</v>
      </c>
      <c r="J2" s="450">
        <f t="shared" ca="1" si="3"/>
        <v>11</v>
      </c>
      <c r="K2" s="450">
        <f t="shared" ca="1" si="3"/>
        <v>21</v>
      </c>
      <c r="L2" s="450">
        <f t="shared" ca="1" si="3"/>
        <v>11</v>
      </c>
      <c r="P2" s="450">
        <f t="shared" ref="P2:T2" ca="1" si="4">CELL("largeur",P2)</f>
        <v>14</v>
      </c>
      <c r="Q2" s="450">
        <f t="shared" ca="1" si="4"/>
        <v>20</v>
      </c>
      <c r="R2" s="450">
        <f t="shared" ca="1" si="4"/>
        <v>38</v>
      </c>
      <c r="S2" s="450">
        <f t="shared" ca="1" si="4"/>
        <v>25</v>
      </c>
      <c r="T2" s="450">
        <f t="shared" ca="1" si="4"/>
        <v>24</v>
      </c>
      <c r="W2" s="450">
        <f t="shared" ref="W2:Z2" ca="1" si="5">CELL("largeur",W2)</f>
        <v>8</v>
      </c>
      <c r="X2" s="450">
        <f t="shared" ca="1" si="5"/>
        <v>29</v>
      </c>
      <c r="Y2" s="450">
        <f t="shared" ca="1" si="5"/>
        <v>63</v>
      </c>
      <c r="Z2" s="450">
        <f t="shared" ca="1" si="5"/>
        <v>59</v>
      </c>
      <c r="AG2" s="186">
        <v>1</v>
      </c>
      <c r="AH2" s="189" t="s">
        <v>543</v>
      </c>
      <c r="AI2" s="190"/>
    </row>
    <row r="3" spans="1:35">
      <c r="B3" s="452">
        <v>40</v>
      </c>
      <c r="C3" s="452">
        <v>41</v>
      </c>
      <c r="D3" s="452">
        <v>42</v>
      </c>
      <c r="E3" s="452">
        <v>43</v>
      </c>
      <c r="F3" s="452">
        <v>44</v>
      </c>
      <c r="G3" s="452">
        <v>45</v>
      </c>
      <c r="H3" s="452">
        <v>46</v>
      </c>
      <c r="I3" s="452">
        <v>47</v>
      </c>
      <c r="J3" s="452">
        <v>48</v>
      </c>
      <c r="K3" s="452">
        <v>49</v>
      </c>
      <c r="L3" s="452">
        <v>50</v>
      </c>
      <c r="P3" s="452">
        <v>50</v>
      </c>
      <c r="Q3" s="452">
        <v>51</v>
      </c>
      <c r="R3" s="452">
        <v>52</v>
      </c>
      <c r="S3" s="452">
        <v>53</v>
      </c>
      <c r="T3" s="452">
        <v>54</v>
      </c>
      <c r="W3" s="452">
        <v>54</v>
      </c>
      <c r="X3" s="452">
        <v>55</v>
      </c>
      <c r="Y3" s="452">
        <v>56</v>
      </c>
      <c r="Z3" s="452">
        <v>57</v>
      </c>
      <c r="AE3" s="194"/>
      <c r="AF3" s="194"/>
      <c r="AG3" s="186">
        <v>1</v>
      </c>
      <c r="AH3" s="191">
        <f ca="1">COUNTA(A1:AG337) + COUNTBLANK(A1:AG337)</f>
        <v>11544</v>
      </c>
      <c r="AI3" s="192" t="str">
        <f>"cellules entre -cells -celdas  "&amp;" " &amp;A1&amp;" et  "&amp;AG337</f>
        <v>cellules entre -cells -celdas   A1 et  AG337</v>
      </c>
    </row>
    <row r="4" spans="1:35">
      <c r="B4" s="453" t="s">
        <v>6997</v>
      </c>
      <c r="AE4" s="194"/>
      <c r="AF4" s="194"/>
      <c r="AG4" s="186">
        <v>1</v>
      </c>
      <c r="AH4" s="191">
        <f ca="1">COUNTA(A1:AG337)</f>
        <v>1834</v>
      </c>
      <c r="AI4" s="192" t="s">
        <v>544</v>
      </c>
    </row>
    <row r="5" spans="1:35">
      <c r="AE5" s="454" t="s">
        <v>895</v>
      </c>
      <c r="AF5" s="182" t="str">
        <f>AG337</f>
        <v>AG337</v>
      </c>
      <c r="AG5" s="186">
        <v>1</v>
      </c>
      <c r="AH5" s="191">
        <f ca="1">COUNTBLANK(A1:AG337)</f>
        <v>9710</v>
      </c>
      <c r="AI5" s="192" t="s">
        <v>545</v>
      </c>
    </row>
    <row r="6" spans="1:35" ht="30" customHeight="1">
      <c r="B6" s="826" t="s">
        <v>6998</v>
      </c>
      <c r="C6" s="826"/>
      <c r="D6" s="826"/>
      <c r="E6" s="826"/>
      <c r="F6" s="826"/>
      <c r="G6" s="826"/>
      <c r="H6" s="826"/>
      <c r="I6" s="826"/>
      <c r="J6" s="826"/>
      <c r="K6" s="826"/>
      <c r="L6" s="826"/>
      <c r="P6" s="826" t="s">
        <v>6999</v>
      </c>
      <c r="Q6" s="826"/>
      <c r="R6" s="826"/>
      <c r="S6" s="826"/>
      <c r="T6" s="826"/>
      <c r="W6" s="827" t="s">
        <v>7000</v>
      </c>
      <c r="X6" s="827"/>
      <c r="Y6" s="827"/>
      <c r="Z6" s="827"/>
      <c r="AE6" s="194"/>
      <c r="AF6" s="194"/>
      <c r="AG6" s="186">
        <v>1</v>
      </c>
      <c r="AH6" s="191">
        <f>SUM(AG1:AG335)+2</f>
        <v>337</v>
      </c>
      <c r="AI6" s="192" t="s">
        <v>547</v>
      </c>
    </row>
    <row r="7" spans="1:35" ht="30" customHeight="1">
      <c r="B7" s="778" t="s">
        <v>7001</v>
      </c>
      <c r="C7" s="778"/>
      <c r="D7" s="778"/>
      <c r="E7" s="778"/>
      <c r="F7" s="778"/>
      <c r="G7" s="778"/>
      <c r="H7" s="778"/>
      <c r="I7" s="778"/>
      <c r="J7" s="778"/>
      <c r="K7" s="778"/>
      <c r="L7" s="778"/>
      <c r="P7" s="778" t="s">
        <v>7002</v>
      </c>
      <c r="Q7" s="778"/>
      <c r="R7" s="778"/>
      <c r="S7" s="778"/>
      <c r="T7" s="778"/>
      <c r="W7" s="778" t="s">
        <v>7003</v>
      </c>
      <c r="X7" s="778"/>
      <c r="Y7" s="778"/>
      <c r="Z7" s="778"/>
      <c r="AE7" s="194"/>
      <c r="AF7" s="194"/>
      <c r="AG7" s="186">
        <v>1</v>
      </c>
      <c r="AH7" s="191">
        <f>SUM(A337:AF337)+1</f>
        <v>33</v>
      </c>
      <c r="AI7" s="192" t="s">
        <v>550</v>
      </c>
    </row>
    <row r="8" spans="1:35" ht="30" customHeight="1">
      <c r="AE8" s="194"/>
      <c r="AF8" s="194"/>
      <c r="AG8" s="186">
        <v>1</v>
      </c>
      <c r="AH8" s="193"/>
      <c r="AI8" s="193"/>
    </row>
    <row r="9" spans="1:35" ht="30" customHeight="1">
      <c r="B9" s="455" t="s">
        <v>7004</v>
      </c>
      <c r="C9" s="456" t="s">
        <v>7005</v>
      </c>
      <c r="D9" s="457" t="s">
        <v>7006</v>
      </c>
      <c r="E9" s="458" t="s">
        <v>7007</v>
      </c>
      <c r="F9" s="459" t="s">
        <v>7008</v>
      </c>
      <c r="G9" s="460" t="s">
        <v>7009</v>
      </c>
      <c r="H9" s="461" t="s">
        <v>7010</v>
      </c>
      <c r="I9" s="462" t="s">
        <v>7011</v>
      </c>
      <c r="J9" s="460" t="s">
        <v>7012</v>
      </c>
      <c r="K9" s="463" t="s">
        <v>7013</v>
      </c>
      <c r="L9" s="464" t="s">
        <v>7014</v>
      </c>
      <c r="P9" s="465" t="s">
        <v>7015</v>
      </c>
      <c r="Q9" s="465" t="s">
        <v>7016</v>
      </c>
      <c r="R9" s="465" t="s">
        <v>7017</v>
      </c>
      <c r="S9" s="465" t="s">
        <v>7018</v>
      </c>
      <c r="T9" s="465" t="s">
        <v>7019</v>
      </c>
      <c r="X9" s="455" t="s">
        <v>7020</v>
      </c>
      <c r="Y9" s="455" t="s">
        <v>7015</v>
      </c>
      <c r="Z9" s="455" t="s">
        <v>7021</v>
      </c>
      <c r="AE9" s="194"/>
      <c r="AF9" s="194"/>
      <c r="AG9" s="186">
        <v>1</v>
      </c>
      <c r="AH9" s="193"/>
      <c r="AI9" s="193"/>
    </row>
    <row r="10" spans="1:35" ht="30" customHeight="1">
      <c r="B10" s="466" t="s">
        <v>7022</v>
      </c>
      <c r="C10" s="467" t="s">
        <v>7023</v>
      </c>
      <c r="D10" s="468" t="s">
        <v>7023</v>
      </c>
      <c r="E10" s="469" t="s">
        <v>7023</v>
      </c>
      <c r="F10" s="470" t="s">
        <v>7023</v>
      </c>
      <c r="G10" s="471" t="s">
        <v>7023</v>
      </c>
      <c r="H10" s="472" t="s">
        <v>7023</v>
      </c>
      <c r="I10" s="473" t="s">
        <v>7023</v>
      </c>
      <c r="J10" s="474" t="s">
        <v>7023</v>
      </c>
      <c r="K10" s="475" t="s">
        <v>7023</v>
      </c>
      <c r="L10" s="476" t="s">
        <v>7023</v>
      </c>
      <c r="P10" s="477" t="s">
        <v>7024</v>
      </c>
      <c r="Q10" s="477" t="s">
        <v>7025</v>
      </c>
      <c r="R10" s="477" t="s">
        <v>7026</v>
      </c>
      <c r="S10" s="477" t="s">
        <v>7027</v>
      </c>
      <c r="T10" s="477" t="s">
        <v>7028</v>
      </c>
      <c r="X10" s="478" t="s">
        <v>7029</v>
      </c>
      <c r="Y10" s="479" t="s">
        <v>7030</v>
      </c>
      <c r="Z10" s="479" t="s">
        <v>7031</v>
      </c>
      <c r="AE10" s="194"/>
      <c r="AF10" s="194"/>
      <c r="AG10" s="186">
        <v>1</v>
      </c>
      <c r="AH10" s="193"/>
      <c r="AI10" s="193"/>
    </row>
    <row r="11" spans="1:35" ht="30" customHeight="1">
      <c r="B11" s="466" t="s">
        <v>7032</v>
      </c>
      <c r="C11" s="480" t="s">
        <v>7032</v>
      </c>
      <c r="D11" s="480" t="s">
        <v>7032</v>
      </c>
      <c r="E11" s="480" t="s">
        <v>7032</v>
      </c>
      <c r="F11" s="480" t="s">
        <v>7032</v>
      </c>
      <c r="G11" s="480" t="s">
        <v>7032</v>
      </c>
      <c r="H11" s="480" t="s">
        <v>7032</v>
      </c>
      <c r="I11" s="480" t="s">
        <v>7032</v>
      </c>
      <c r="J11" s="480" t="s">
        <v>7032</v>
      </c>
      <c r="K11" s="480" t="s">
        <v>7032</v>
      </c>
      <c r="L11" s="480" t="s">
        <v>7032</v>
      </c>
      <c r="P11" s="481" t="s">
        <v>7033</v>
      </c>
      <c r="Q11" s="481" t="s">
        <v>7034</v>
      </c>
      <c r="R11" s="481" t="s">
        <v>7035</v>
      </c>
      <c r="S11" s="481" t="s">
        <v>7036</v>
      </c>
      <c r="T11" s="481" t="s">
        <v>7037</v>
      </c>
      <c r="X11" s="478" t="s">
        <v>7038</v>
      </c>
      <c r="Y11" s="479" t="s">
        <v>7039</v>
      </c>
      <c r="Z11" s="479" t="s">
        <v>7040</v>
      </c>
      <c r="AE11" s="194"/>
      <c r="AF11" s="194"/>
      <c r="AG11" s="186">
        <v>1</v>
      </c>
      <c r="AH11" s="193"/>
      <c r="AI11" s="193"/>
    </row>
    <row r="12" spans="1:35" ht="30" customHeight="1">
      <c r="B12" s="466" t="s">
        <v>7041</v>
      </c>
      <c r="C12" s="482" t="s">
        <v>7042</v>
      </c>
      <c r="D12" s="483" t="s">
        <v>7042</v>
      </c>
      <c r="E12" s="484" t="s">
        <v>7042</v>
      </c>
      <c r="F12" s="485" t="s">
        <v>7042</v>
      </c>
      <c r="G12" s="486" t="s">
        <v>7042</v>
      </c>
      <c r="H12" s="487" t="s">
        <v>7042</v>
      </c>
      <c r="I12" s="488" t="s">
        <v>7042</v>
      </c>
      <c r="J12" s="489" t="s">
        <v>7042</v>
      </c>
      <c r="K12" s="490" t="s">
        <v>7042</v>
      </c>
      <c r="L12" s="491" t="s">
        <v>7042</v>
      </c>
      <c r="P12" s="477" t="s">
        <v>7043</v>
      </c>
      <c r="Q12" s="477" t="s">
        <v>7044</v>
      </c>
      <c r="R12" s="477" t="s">
        <v>7045</v>
      </c>
      <c r="S12" s="477" t="s">
        <v>7046</v>
      </c>
      <c r="T12" s="477" t="s">
        <v>7047</v>
      </c>
      <c r="X12" s="478" t="s">
        <v>7048</v>
      </c>
      <c r="Y12" s="479" t="s">
        <v>7049</v>
      </c>
      <c r="Z12" s="479" t="s">
        <v>7050</v>
      </c>
      <c r="AE12" s="194"/>
      <c r="AF12" s="194"/>
      <c r="AG12" s="186">
        <v>1</v>
      </c>
      <c r="AH12" s="193"/>
      <c r="AI12" s="193"/>
    </row>
    <row r="13" spans="1:35" ht="30" customHeight="1">
      <c r="B13" s="466" t="s">
        <v>7051</v>
      </c>
      <c r="C13" s="482" t="s">
        <v>7052</v>
      </c>
      <c r="D13" s="483" t="s">
        <v>7052</v>
      </c>
      <c r="E13" s="484" t="s">
        <v>7052</v>
      </c>
      <c r="F13" s="485" t="s">
        <v>7052</v>
      </c>
      <c r="G13" s="486" t="s">
        <v>7052</v>
      </c>
      <c r="H13" s="487" t="s">
        <v>7052</v>
      </c>
      <c r="I13" s="488" t="s">
        <v>7052</v>
      </c>
      <c r="J13" s="489" t="s">
        <v>7052</v>
      </c>
      <c r="K13" s="490" t="s">
        <v>7052</v>
      </c>
      <c r="L13" s="491" t="s">
        <v>7052</v>
      </c>
      <c r="P13" s="481" t="s">
        <v>7053</v>
      </c>
      <c r="Q13" s="481" t="s">
        <v>7054</v>
      </c>
      <c r="R13" s="481" t="s">
        <v>7055</v>
      </c>
      <c r="S13" s="481" t="s">
        <v>7056</v>
      </c>
      <c r="T13" s="481" t="s">
        <v>7057</v>
      </c>
      <c r="X13" s="478" t="s">
        <v>7058</v>
      </c>
      <c r="Y13" s="479" t="s">
        <v>7059</v>
      </c>
      <c r="Z13" s="479" t="s">
        <v>7060</v>
      </c>
      <c r="AE13" s="194"/>
      <c r="AF13" s="194"/>
      <c r="AG13" s="186">
        <v>1</v>
      </c>
      <c r="AH13" s="193"/>
      <c r="AI13" s="193"/>
    </row>
    <row r="14" spans="1:35" ht="30" customHeight="1">
      <c r="B14" s="466" t="s">
        <v>1219</v>
      </c>
      <c r="C14" s="492" t="s">
        <v>7061</v>
      </c>
      <c r="D14" s="492" t="s">
        <v>7061</v>
      </c>
      <c r="E14" s="492" t="s">
        <v>7061</v>
      </c>
      <c r="F14" s="492" t="s">
        <v>7061</v>
      </c>
      <c r="G14" s="492" t="s">
        <v>7061</v>
      </c>
      <c r="H14" s="492" t="s">
        <v>7061</v>
      </c>
      <c r="I14" s="492" t="s">
        <v>7061</v>
      </c>
      <c r="J14" s="492" t="s">
        <v>7061</v>
      </c>
      <c r="K14" s="492" t="s">
        <v>7061</v>
      </c>
      <c r="L14" s="492" t="s">
        <v>7061</v>
      </c>
      <c r="P14" s="477" t="s">
        <v>7062</v>
      </c>
      <c r="Q14" s="477" t="s">
        <v>7063</v>
      </c>
      <c r="R14" s="477" t="s">
        <v>7064</v>
      </c>
      <c r="S14" s="477" t="s">
        <v>7065</v>
      </c>
      <c r="T14" s="477" t="s">
        <v>7066</v>
      </c>
      <c r="X14" s="478" t="s">
        <v>7067</v>
      </c>
      <c r="Y14" s="479" t="s">
        <v>7068</v>
      </c>
      <c r="Z14" s="479" t="s">
        <v>7069</v>
      </c>
      <c r="AE14" s="194"/>
      <c r="AF14" s="194"/>
      <c r="AG14" s="186">
        <v>1</v>
      </c>
      <c r="AH14" s="193"/>
      <c r="AI14" s="193"/>
    </row>
    <row r="15" spans="1:35" ht="30" customHeight="1">
      <c r="B15" s="466" t="s">
        <v>7070</v>
      </c>
      <c r="C15" s="493" t="s">
        <v>7071</v>
      </c>
      <c r="D15" s="494" t="s">
        <v>7071</v>
      </c>
      <c r="E15" s="495" t="s">
        <v>7071</v>
      </c>
      <c r="F15" s="496" t="s">
        <v>7071</v>
      </c>
      <c r="G15" s="497" t="s">
        <v>7071</v>
      </c>
      <c r="H15" s="498" t="s">
        <v>7071</v>
      </c>
      <c r="I15" s="499" t="s">
        <v>7071</v>
      </c>
      <c r="J15" s="500" t="s">
        <v>7071</v>
      </c>
      <c r="K15" s="501" t="s">
        <v>7071</v>
      </c>
      <c r="L15" s="502" t="s">
        <v>7071</v>
      </c>
      <c r="P15" s="481" t="s">
        <v>7072</v>
      </c>
      <c r="Q15" s="481" t="s">
        <v>7073</v>
      </c>
      <c r="R15" s="481" t="s">
        <v>7074</v>
      </c>
      <c r="S15" s="481" t="s">
        <v>7075</v>
      </c>
      <c r="T15" s="481" t="s">
        <v>7076</v>
      </c>
      <c r="X15" s="478" t="s">
        <v>7077</v>
      </c>
      <c r="Y15" s="479" t="s">
        <v>7078</v>
      </c>
      <c r="Z15" s="479" t="s">
        <v>7079</v>
      </c>
      <c r="AE15" s="194"/>
      <c r="AF15" s="194"/>
      <c r="AG15" s="186">
        <v>1</v>
      </c>
      <c r="AH15" s="193"/>
      <c r="AI15" s="193"/>
    </row>
    <row r="16" spans="1:35" ht="30" customHeight="1">
      <c r="B16" s="466" t="s">
        <v>7080</v>
      </c>
      <c r="C16" s="503" t="s">
        <v>203</v>
      </c>
      <c r="D16" s="504" t="s">
        <v>203</v>
      </c>
      <c r="E16" s="505" t="s">
        <v>203</v>
      </c>
      <c r="F16" s="506" t="s">
        <v>203</v>
      </c>
      <c r="G16" s="507" t="s">
        <v>203</v>
      </c>
      <c r="H16" s="508" t="s">
        <v>203</v>
      </c>
      <c r="I16" s="509" t="s">
        <v>203</v>
      </c>
      <c r="J16" s="507" t="s">
        <v>203</v>
      </c>
      <c r="K16" s="510" t="s">
        <v>203</v>
      </c>
      <c r="L16" s="511" t="s">
        <v>203</v>
      </c>
      <c r="P16" s="477" t="s">
        <v>7081</v>
      </c>
      <c r="Q16" s="477" t="s">
        <v>7082</v>
      </c>
      <c r="R16" s="477" t="s">
        <v>7083</v>
      </c>
      <c r="S16" s="477" t="s">
        <v>7084</v>
      </c>
      <c r="T16" s="477" t="s">
        <v>7085</v>
      </c>
      <c r="X16" s="478" t="s">
        <v>7086</v>
      </c>
      <c r="Y16" s="479" t="s">
        <v>7087</v>
      </c>
      <c r="Z16" s="479" t="s">
        <v>7088</v>
      </c>
      <c r="AE16" s="194"/>
      <c r="AF16" s="194"/>
      <c r="AG16" s="186">
        <v>1</v>
      </c>
      <c r="AH16" s="193"/>
      <c r="AI16" s="193"/>
    </row>
    <row r="17" spans="2:35" ht="30" customHeight="1">
      <c r="B17" s="466" t="s">
        <v>7089</v>
      </c>
      <c r="C17" s="512" t="s">
        <v>148</v>
      </c>
      <c r="D17" s="513" t="s">
        <v>148</v>
      </c>
      <c r="E17" s="514" t="s">
        <v>148</v>
      </c>
      <c r="F17" s="515" t="s">
        <v>148</v>
      </c>
      <c r="G17" s="516" t="s">
        <v>148</v>
      </c>
      <c r="H17" s="517" t="s">
        <v>148</v>
      </c>
      <c r="I17" s="518" t="s">
        <v>148</v>
      </c>
      <c r="J17" s="519" t="s">
        <v>148</v>
      </c>
      <c r="K17" s="520" t="s">
        <v>148</v>
      </c>
      <c r="L17" s="521" t="s">
        <v>148</v>
      </c>
      <c r="P17" s="481" t="s">
        <v>7090</v>
      </c>
      <c r="Q17" s="481" t="s">
        <v>7091</v>
      </c>
      <c r="R17" s="481" t="s">
        <v>7092</v>
      </c>
      <c r="S17" s="481" t="s">
        <v>7093</v>
      </c>
      <c r="T17" s="481" t="s">
        <v>7094</v>
      </c>
      <c r="X17" s="478" t="s">
        <v>7095</v>
      </c>
      <c r="Y17" s="479" t="s">
        <v>7096</v>
      </c>
      <c r="Z17" s="479" t="s">
        <v>7097</v>
      </c>
      <c r="AE17" s="194"/>
      <c r="AF17" s="194"/>
      <c r="AG17" s="186">
        <v>1</v>
      </c>
      <c r="AH17" s="193"/>
      <c r="AI17" s="193"/>
    </row>
    <row r="18" spans="2:35" ht="30" customHeight="1">
      <c r="B18" s="466" t="s">
        <v>7098</v>
      </c>
      <c r="C18" s="522" t="s">
        <v>879</v>
      </c>
      <c r="D18" s="523" t="s">
        <v>879</v>
      </c>
      <c r="E18" s="524" t="s">
        <v>879</v>
      </c>
      <c r="F18" s="525" t="s">
        <v>879</v>
      </c>
      <c r="G18" s="526" t="s">
        <v>879</v>
      </c>
      <c r="H18" s="527" t="s">
        <v>879</v>
      </c>
      <c r="I18" s="528" t="s">
        <v>879</v>
      </c>
      <c r="J18" s="526" t="s">
        <v>879</v>
      </c>
      <c r="K18" s="529" t="s">
        <v>879</v>
      </c>
      <c r="L18" s="530" t="s">
        <v>879</v>
      </c>
      <c r="P18" s="477" t="s">
        <v>7099</v>
      </c>
      <c r="Q18" s="477" t="s">
        <v>7100</v>
      </c>
      <c r="R18" s="477" t="s">
        <v>7101</v>
      </c>
      <c r="S18" s="477" t="s">
        <v>7102</v>
      </c>
      <c r="T18" s="477" t="s">
        <v>7103</v>
      </c>
      <c r="X18" s="478" t="s">
        <v>7104</v>
      </c>
      <c r="Y18" s="479" t="s">
        <v>7105</v>
      </c>
      <c r="Z18" s="479" t="s">
        <v>7106</v>
      </c>
      <c r="AE18" s="194"/>
      <c r="AF18" s="194"/>
      <c r="AG18" s="186">
        <v>1</v>
      </c>
      <c r="AH18" s="193"/>
      <c r="AI18" s="193"/>
    </row>
    <row r="19" spans="2:35" ht="30" customHeight="1">
      <c r="B19" s="466" t="s">
        <v>7107</v>
      </c>
      <c r="C19" s="531" t="s">
        <v>448</v>
      </c>
      <c r="D19" s="532" t="s">
        <v>448</v>
      </c>
      <c r="E19" s="533" t="s">
        <v>448</v>
      </c>
      <c r="F19" s="534" t="s">
        <v>448</v>
      </c>
      <c r="G19" s="535" t="s">
        <v>448</v>
      </c>
      <c r="H19" s="536" t="s">
        <v>448</v>
      </c>
      <c r="I19" s="537" t="s">
        <v>448</v>
      </c>
      <c r="J19" s="535" t="s">
        <v>448</v>
      </c>
      <c r="K19" s="538" t="s">
        <v>448</v>
      </c>
      <c r="L19" s="539" t="s">
        <v>448</v>
      </c>
      <c r="P19" s="481" t="s">
        <v>7108</v>
      </c>
      <c r="Q19" s="481" t="s">
        <v>7109</v>
      </c>
      <c r="R19" s="481" t="s">
        <v>7110</v>
      </c>
      <c r="S19" s="481" t="s">
        <v>7111</v>
      </c>
      <c r="T19" s="481" t="s">
        <v>7112</v>
      </c>
      <c r="X19" s="478" t="s">
        <v>7113</v>
      </c>
      <c r="Y19" s="479" t="s">
        <v>7114</v>
      </c>
      <c r="Z19" s="479" t="s">
        <v>7115</v>
      </c>
      <c r="AE19" s="194"/>
      <c r="AF19" s="194"/>
      <c r="AG19" s="186">
        <v>1</v>
      </c>
      <c r="AH19" s="193"/>
      <c r="AI19" s="193"/>
    </row>
    <row r="20" spans="2:35" ht="30" customHeight="1">
      <c r="B20" s="823" t="s">
        <v>7116</v>
      </c>
      <c r="C20" s="823"/>
      <c r="D20" s="823"/>
      <c r="E20" s="823"/>
      <c r="F20" s="823"/>
      <c r="G20" s="823"/>
      <c r="H20" s="823"/>
      <c r="I20" s="823"/>
      <c r="J20" s="823"/>
      <c r="K20" s="823"/>
      <c r="L20" s="823"/>
      <c r="X20" s="540"/>
      <c r="Y20" s="540"/>
      <c r="Z20" s="540"/>
      <c r="AE20" s="194"/>
      <c r="AF20" s="194"/>
      <c r="AG20" s="186">
        <v>1</v>
      </c>
      <c r="AH20" s="193"/>
      <c r="AI20" s="193"/>
    </row>
    <row r="21" spans="2:35" ht="30" customHeight="1">
      <c r="X21" s="541" t="s">
        <v>7109</v>
      </c>
      <c r="Y21" s="479" t="s">
        <v>7117</v>
      </c>
      <c r="Z21" s="479" t="s">
        <v>7118</v>
      </c>
      <c r="AE21" s="194"/>
      <c r="AF21" s="194"/>
      <c r="AG21" s="186">
        <v>1</v>
      </c>
      <c r="AH21" s="193"/>
      <c r="AI21" s="193"/>
    </row>
    <row r="22" spans="2:35" ht="30" customHeight="1">
      <c r="C22" s="824" t="s">
        <v>7119</v>
      </c>
      <c r="D22" s="824"/>
      <c r="E22" s="824"/>
      <c r="F22" s="824"/>
      <c r="G22" s="824"/>
      <c r="H22" s="824"/>
      <c r="I22" s="824"/>
      <c r="J22" s="824"/>
      <c r="K22" s="824"/>
      <c r="L22" s="824"/>
      <c r="X22" s="541" t="s">
        <v>7120</v>
      </c>
      <c r="Y22" s="479" t="s">
        <v>7121</v>
      </c>
      <c r="Z22" s="479" t="s">
        <v>7122</v>
      </c>
      <c r="AE22" s="194"/>
      <c r="AF22" s="194"/>
      <c r="AG22" s="186">
        <v>1</v>
      </c>
      <c r="AH22" s="193"/>
      <c r="AI22" s="193"/>
    </row>
    <row r="23" spans="2:35" ht="30" customHeight="1">
      <c r="C23" s="778" t="s">
        <v>7123</v>
      </c>
      <c r="D23" s="778"/>
      <c r="E23" s="778"/>
      <c r="F23" s="778"/>
      <c r="G23" s="778"/>
      <c r="H23" s="778"/>
      <c r="I23" s="778"/>
      <c r="J23" s="778"/>
      <c r="K23" s="778"/>
      <c r="L23" s="778"/>
      <c r="AE23" s="194"/>
      <c r="AF23" s="194"/>
      <c r="AG23" s="186">
        <v>1</v>
      </c>
      <c r="AH23" s="193"/>
      <c r="AI23" s="193"/>
    </row>
    <row r="24" spans="2:35" ht="30" customHeight="1">
      <c r="AE24" s="194"/>
      <c r="AF24" s="194"/>
      <c r="AG24" s="186">
        <v>1</v>
      </c>
      <c r="AH24" s="193"/>
      <c r="AI24" s="193"/>
    </row>
    <row r="25" spans="2:35" ht="30" customHeight="1">
      <c r="C25" s="825" t="s">
        <v>7124</v>
      </c>
      <c r="D25" s="825"/>
      <c r="E25" s="825"/>
      <c r="F25" s="825"/>
      <c r="G25" s="825"/>
      <c r="H25" s="825"/>
      <c r="I25" s="825"/>
      <c r="J25" s="825"/>
      <c r="K25" s="825"/>
      <c r="L25" s="825"/>
      <c r="AE25" s="194"/>
      <c r="AF25" s="194"/>
      <c r="AG25" s="186">
        <v>1</v>
      </c>
      <c r="AH25" s="193"/>
      <c r="AI25" s="193"/>
    </row>
    <row r="26" spans="2:35" ht="30" customHeight="1">
      <c r="C26" s="542" t="s">
        <v>7125</v>
      </c>
      <c r="D26" s="543" t="s">
        <v>6666</v>
      </c>
      <c r="E26" s="542" t="s">
        <v>867</v>
      </c>
      <c r="F26" s="543" t="s">
        <v>7126</v>
      </c>
      <c r="G26" s="542" t="s">
        <v>7127</v>
      </c>
      <c r="H26" s="543" t="s">
        <v>7128</v>
      </c>
      <c r="I26" s="542" t="s">
        <v>562</v>
      </c>
      <c r="J26" s="543" t="s">
        <v>6666</v>
      </c>
      <c r="K26" s="542" t="s">
        <v>7015</v>
      </c>
      <c r="L26" s="543" t="s">
        <v>7129</v>
      </c>
      <c r="AE26" s="194"/>
      <c r="AF26" s="194"/>
      <c r="AG26" s="186">
        <v>1</v>
      </c>
      <c r="AH26" s="193"/>
      <c r="AI26" s="193"/>
    </row>
    <row r="27" spans="2:35" ht="30" customHeight="1">
      <c r="C27" s="542" t="s">
        <v>7130</v>
      </c>
      <c r="D27" s="543" t="s">
        <v>7131</v>
      </c>
      <c r="E27" s="542" t="s">
        <v>7132</v>
      </c>
      <c r="F27" s="543" t="s">
        <v>6666</v>
      </c>
      <c r="G27" s="542" t="s">
        <v>7133</v>
      </c>
      <c r="H27" s="543" t="s">
        <v>6666</v>
      </c>
      <c r="I27" s="542" t="s">
        <v>7134</v>
      </c>
      <c r="J27" s="543" t="s">
        <v>6666</v>
      </c>
      <c r="K27" s="542" t="s">
        <v>861</v>
      </c>
      <c r="L27" s="543" t="s">
        <v>7135</v>
      </c>
      <c r="AE27" s="194"/>
      <c r="AF27" s="194"/>
      <c r="AG27" s="186">
        <v>1</v>
      </c>
      <c r="AH27" s="193"/>
      <c r="AI27" s="193"/>
    </row>
    <row r="28" spans="2:35" ht="30" customHeight="1">
      <c r="AE28" s="194"/>
      <c r="AF28" s="194"/>
      <c r="AG28" s="186">
        <v>1</v>
      </c>
      <c r="AH28" s="193"/>
      <c r="AI28" s="193"/>
    </row>
    <row r="29" spans="2:35" ht="30" customHeight="1">
      <c r="C29" s="825" t="s">
        <v>7136</v>
      </c>
      <c r="D29" s="825"/>
      <c r="E29" s="825"/>
      <c r="F29" s="825"/>
      <c r="G29" s="825"/>
      <c r="H29" s="825"/>
      <c r="I29" s="825"/>
      <c r="J29" s="825"/>
      <c r="K29" s="825"/>
      <c r="L29" s="825"/>
      <c r="AE29" s="194"/>
      <c r="AF29" s="194"/>
      <c r="AG29" s="186">
        <v>1</v>
      </c>
      <c r="AH29" s="193"/>
      <c r="AI29" s="193"/>
    </row>
    <row r="30" spans="2:35" ht="30" customHeight="1">
      <c r="C30" s="544" t="s">
        <v>908</v>
      </c>
      <c r="D30" s="544" t="s">
        <v>7137</v>
      </c>
      <c r="E30" s="544" t="s">
        <v>7138</v>
      </c>
      <c r="F30" s="544" t="s">
        <v>7139</v>
      </c>
      <c r="G30" s="544" t="s">
        <v>7140</v>
      </c>
      <c r="H30" s="544" t="s">
        <v>7141</v>
      </c>
      <c r="I30" s="544" t="s">
        <v>7142</v>
      </c>
      <c r="J30" s="544" t="s">
        <v>6400</v>
      </c>
      <c r="K30" s="544" t="s">
        <v>7143</v>
      </c>
      <c r="L30" s="544" t="s">
        <v>861</v>
      </c>
      <c r="AE30" s="194"/>
      <c r="AF30" s="194"/>
      <c r="AG30" s="186">
        <v>1</v>
      </c>
      <c r="AH30" s="193"/>
      <c r="AI30" s="193"/>
    </row>
    <row r="31" spans="2:35" ht="30" customHeight="1">
      <c r="C31" s="545">
        <v>1</v>
      </c>
      <c r="D31" s="546" t="s">
        <v>7144</v>
      </c>
      <c r="E31" s="546" t="s">
        <v>56</v>
      </c>
      <c r="F31" s="545">
        <v>100</v>
      </c>
      <c r="G31" s="545">
        <v>0</v>
      </c>
      <c r="H31" s="545" t="s">
        <v>6666</v>
      </c>
      <c r="I31" s="546" t="s">
        <v>7145</v>
      </c>
      <c r="J31" s="546" t="s">
        <v>6666</v>
      </c>
      <c r="K31" s="546" t="s">
        <v>7146</v>
      </c>
      <c r="L31" s="546" t="s">
        <v>6667</v>
      </c>
      <c r="AE31" s="194"/>
      <c r="AF31" s="194"/>
      <c r="AG31" s="186">
        <v>1</v>
      </c>
      <c r="AH31" s="193"/>
      <c r="AI31" s="193"/>
    </row>
    <row r="32" spans="2:35" ht="30" customHeight="1">
      <c r="C32" s="547">
        <v>2</v>
      </c>
      <c r="D32" s="548" t="s">
        <v>7147</v>
      </c>
      <c r="E32" s="548" t="s">
        <v>22</v>
      </c>
      <c r="F32" s="547">
        <v>50</v>
      </c>
      <c r="G32" s="547">
        <v>0</v>
      </c>
      <c r="H32" s="547" t="s">
        <v>6666</v>
      </c>
      <c r="I32" s="548" t="s">
        <v>7148</v>
      </c>
      <c r="J32" s="548" t="s">
        <v>6666</v>
      </c>
      <c r="K32" s="548" t="s">
        <v>6666</v>
      </c>
      <c r="L32" s="548" t="s">
        <v>6666</v>
      </c>
      <c r="AE32" s="194"/>
      <c r="AF32" s="194"/>
      <c r="AG32" s="186">
        <v>1</v>
      </c>
      <c r="AH32" s="193"/>
      <c r="AI32" s="193"/>
    </row>
    <row r="33" spans="3:35" ht="30" customHeight="1">
      <c r="C33" s="545">
        <v>3</v>
      </c>
      <c r="D33" s="546" t="s">
        <v>6666</v>
      </c>
      <c r="E33" s="546" t="s">
        <v>6666</v>
      </c>
      <c r="F33" s="545" t="s">
        <v>6666</v>
      </c>
      <c r="G33" s="545" t="s">
        <v>6666</v>
      </c>
      <c r="H33" s="545" t="s">
        <v>6666</v>
      </c>
      <c r="I33" s="546" t="s">
        <v>6666</v>
      </c>
      <c r="J33" s="546" t="s">
        <v>6666</v>
      </c>
      <c r="K33" s="546" t="s">
        <v>6666</v>
      </c>
      <c r="L33" s="546" t="s">
        <v>6666</v>
      </c>
      <c r="AE33" s="194"/>
      <c r="AF33" s="194"/>
      <c r="AG33" s="186">
        <v>1</v>
      </c>
      <c r="AH33" s="193"/>
      <c r="AI33" s="193"/>
    </row>
    <row r="34" spans="3:35" ht="30" customHeight="1">
      <c r="C34" s="547">
        <v>4</v>
      </c>
      <c r="D34" s="548" t="s">
        <v>6666</v>
      </c>
      <c r="E34" s="548" t="s">
        <v>6666</v>
      </c>
      <c r="F34" s="547" t="s">
        <v>6666</v>
      </c>
      <c r="G34" s="547" t="s">
        <v>6666</v>
      </c>
      <c r="H34" s="547" t="s">
        <v>6666</v>
      </c>
      <c r="I34" s="548" t="s">
        <v>6666</v>
      </c>
      <c r="J34" s="548" t="s">
        <v>6666</v>
      </c>
      <c r="K34" s="548" t="s">
        <v>6666</v>
      </c>
      <c r="L34" s="548" t="s">
        <v>6666</v>
      </c>
      <c r="AE34" s="194"/>
      <c r="AF34" s="194"/>
      <c r="AG34" s="186">
        <v>1</v>
      </c>
      <c r="AH34" s="193"/>
      <c r="AI34" s="193"/>
    </row>
    <row r="35" spans="3:35" ht="30" customHeight="1" thickBot="1">
      <c r="C35" s="545">
        <v>5</v>
      </c>
      <c r="D35" s="546" t="s">
        <v>6666</v>
      </c>
      <c r="E35" s="546" t="s">
        <v>6666</v>
      </c>
      <c r="F35" s="545" t="s">
        <v>6666</v>
      </c>
      <c r="G35" s="545" t="s">
        <v>6666</v>
      </c>
      <c r="H35" s="545" t="s">
        <v>6666</v>
      </c>
      <c r="I35" s="546" t="s">
        <v>6666</v>
      </c>
      <c r="J35" s="546" t="s">
        <v>6666</v>
      </c>
      <c r="K35" s="546" t="s">
        <v>6666</v>
      </c>
      <c r="L35" s="546" t="s">
        <v>6666</v>
      </c>
      <c r="AE35" s="549"/>
      <c r="AF35" s="549"/>
      <c r="AG35" s="186">
        <v>1</v>
      </c>
      <c r="AH35" s="193"/>
      <c r="AI35" s="193"/>
    </row>
    <row r="36" spans="3:35" ht="30" customHeight="1">
      <c r="C36" s="550"/>
      <c r="D36" s="551" t="s">
        <v>203</v>
      </c>
      <c r="E36" s="550"/>
      <c r="F36" s="550"/>
      <c r="G36" s="550"/>
      <c r="H36" s="550"/>
      <c r="I36" s="550"/>
      <c r="J36" s="550"/>
      <c r="K36" s="550"/>
      <c r="L36" s="550"/>
      <c r="AE36" s="552"/>
      <c r="AF36" s="552"/>
      <c r="AG36" s="186">
        <v>1</v>
      </c>
      <c r="AH36" s="193"/>
      <c r="AI36" s="193"/>
    </row>
    <row r="37" spans="3:35" ht="30" customHeight="1">
      <c r="AE37" s="552"/>
      <c r="AF37" s="552"/>
      <c r="AG37" s="186">
        <v>1</v>
      </c>
      <c r="AH37" s="193"/>
      <c r="AI37" s="193"/>
    </row>
    <row r="38" spans="3:35" ht="21" customHeight="1">
      <c r="C38" s="825" t="s">
        <v>7149</v>
      </c>
      <c r="D38" s="825"/>
      <c r="E38" s="825"/>
      <c r="F38" s="825"/>
      <c r="G38" s="825"/>
      <c r="H38" s="825"/>
      <c r="I38" s="825"/>
      <c r="J38" s="825"/>
      <c r="K38" s="825"/>
      <c r="L38" s="825"/>
      <c r="AE38" s="552"/>
      <c r="AF38" s="552"/>
      <c r="AG38" s="186">
        <v>1</v>
      </c>
      <c r="AH38" s="193"/>
      <c r="AI38" s="193"/>
    </row>
    <row r="39" spans="3:35" ht="21" customHeight="1">
      <c r="C39" s="820" t="s">
        <v>7150</v>
      </c>
      <c r="D39" s="820"/>
      <c r="E39" s="820"/>
      <c r="F39" s="820"/>
      <c r="G39" s="820"/>
      <c r="H39" s="820"/>
      <c r="I39" s="820"/>
      <c r="J39" s="820"/>
      <c r="K39" s="820"/>
      <c r="L39" s="820"/>
      <c r="AE39" s="552"/>
      <c r="AF39" s="552"/>
      <c r="AG39" s="186">
        <v>1</v>
      </c>
      <c r="AH39" s="193"/>
      <c r="AI39" s="193"/>
    </row>
    <row r="40" spans="3:35" ht="21" customHeight="1">
      <c r="C40" s="820"/>
      <c r="D40" s="820"/>
      <c r="E40" s="820"/>
      <c r="F40" s="820"/>
      <c r="G40" s="820"/>
      <c r="H40" s="820"/>
      <c r="I40" s="820"/>
      <c r="J40" s="820"/>
      <c r="K40" s="820"/>
      <c r="L40" s="820"/>
      <c r="AE40" s="552"/>
      <c r="AF40" s="552"/>
      <c r="AG40" s="186">
        <v>1</v>
      </c>
      <c r="AH40" s="193"/>
      <c r="AI40" s="193"/>
    </row>
    <row r="41" spans="3:35" ht="21" customHeight="1">
      <c r="C41" s="820"/>
      <c r="D41" s="820"/>
      <c r="E41" s="820"/>
      <c r="F41" s="820"/>
      <c r="G41" s="820"/>
      <c r="H41" s="820"/>
      <c r="I41" s="820"/>
      <c r="J41" s="820"/>
      <c r="K41" s="820"/>
      <c r="L41" s="820"/>
      <c r="AE41" s="552"/>
      <c r="AF41" s="552"/>
      <c r="AG41" s="186">
        <v>1</v>
      </c>
      <c r="AH41" s="193"/>
      <c r="AI41" s="193"/>
    </row>
    <row r="42" spans="3:35" ht="30" customHeight="1">
      <c r="AE42" s="552"/>
      <c r="AF42" s="552"/>
      <c r="AG42" s="186">
        <v>1</v>
      </c>
      <c r="AH42" s="193"/>
      <c r="AI42" s="193"/>
    </row>
    <row r="43" spans="3:35" ht="21" customHeight="1">
      <c r="C43" s="821" t="s">
        <v>7151</v>
      </c>
      <c r="D43" s="821"/>
      <c r="E43" s="821"/>
      <c r="F43" s="821"/>
      <c r="G43" s="821"/>
      <c r="H43" s="821"/>
      <c r="I43" s="821"/>
      <c r="J43" s="821"/>
      <c r="K43" s="821"/>
      <c r="L43" s="821"/>
      <c r="AE43" s="552"/>
      <c r="AF43" s="552"/>
      <c r="AG43" s="186">
        <v>1</v>
      </c>
      <c r="AH43" s="193"/>
      <c r="AI43" s="193"/>
    </row>
    <row r="44" spans="3:35" ht="21" customHeight="1">
      <c r="C44" s="553" t="s">
        <v>7152</v>
      </c>
      <c r="D44" s="553" t="s">
        <v>7153</v>
      </c>
      <c r="E44" s="553" t="s">
        <v>7154</v>
      </c>
      <c r="F44" s="822" t="s">
        <v>7155</v>
      </c>
      <c r="G44" s="822"/>
      <c r="H44" s="822"/>
      <c r="I44" s="822"/>
      <c r="J44" s="822"/>
      <c r="K44" s="822"/>
      <c r="L44" s="822"/>
      <c r="AE44" s="552"/>
      <c r="AF44" s="552"/>
      <c r="AG44" s="186">
        <v>1</v>
      </c>
      <c r="AH44" s="193"/>
      <c r="AI44" s="193"/>
    </row>
    <row r="45" spans="3:35" ht="21" customHeight="1">
      <c r="C45" s="554" t="s">
        <v>7156</v>
      </c>
      <c r="D45" s="555" t="s">
        <v>6666</v>
      </c>
      <c r="E45" s="556" t="s">
        <v>7157</v>
      </c>
      <c r="F45" s="772" t="s">
        <v>7158</v>
      </c>
      <c r="G45" s="772"/>
      <c r="H45" s="772"/>
      <c r="I45" s="772"/>
      <c r="J45" s="772"/>
      <c r="K45" s="772"/>
      <c r="L45" s="772"/>
      <c r="AE45" s="552"/>
      <c r="AF45" s="552"/>
      <c r="AG45" s="186">
        <v>1</v>
      </c>
      <c r="AH45" s="193"/>
      <c r="AI45" s="193"/>
    </row>
    <row r="46" spans="3:35" ht="21" customHeight="1">
      <c r="C46" s="557" t="s">
        <v>7159</v>
      </c>
      <c r="D46" s="558" t="s">
        <v>6666</v>
      </c>
      <c r="E46" s="559" t="s">
        <v>7160</v>
      </c>
      <c r="F46" s="817" t="s">
        <v>7161</v>
      </c>
      <c r="G46" s="817"/>
      <c r="H46" s="817"/>
      <c r="I46" s="817"/>
      <c r="J46" s="817"/>
      <c r="K46" s="817"/>
      <c r="L46" s="817"/>
      <c r="AE46" s="552"/>
      <c r="AF46" s="552"/>
      <c r="AG46" s="186">
        <v>1</v>
      </c>
      <c r="AH46" s="193"/>
      <c r="AI46" s="193"/>
    </row>
    <row r="47" spans="3:35" ht="21" customHeight="1">
      <c r="C47" s="554" t="s">
        <v>7162</v>
      </c>
      <c r="D47" s="560" t="s">
        <v>6666</v>
      </c>
      <c r="E47" s="556" t="s">
        <v>7163</v>
      </c>
      <c r="F47" s="772" t="s">
        <v>7164</v>
      </c>
      <c r="G47" s="772"/>
      <c r="H47" s="772"/>
      <c r="I47" s="772"/>
      <c r="J47" s="772"/>
      <c r="K47" s="772"/>
      <c r="L47" s="772"/>
      <c r="AE47" s="552"/>
      <c r="AF47" s="552"/>
      <c r="AG47" s="186">
        <v>1</v>
      </c>
      <c r="AH47" s="193"/>
      <c r="AI47" s="193"/>
    </row>
    <row r="48" spans="3:35" ht="21" customHeight="1">
      <c r="C48" s="557" t="s">
        <v>7165</v>
      </c>
      <c r="D48" s="561" t="s">
        <v>6666</v>
      </c>
      <c r="E48" s="559" t="s">
        <v>7166</v>
      </c>
      <c r="F48" s="817" t="s">
        <v>7167</v>
      </c>
      <c r="G48" s="817"/>
      <c r="H48" s="817"/>
      <c r="I48" s="817"/>
      <c r="J48" s="817"/>
      <c r="K48" s="817"/>
      <c r="L48" s="817"/>
      <c r="AE48" s="552"/>
      <c r="AF48" s="552"/>
      <c r="AG48" s="186">
        <v>1</v>
      </c>
      <c r="AH48" s="193"/>
      <c r="AI48" s="193"/>
    </row>
    <row r="49" spans="3:35" ht="21" customHeight="1">
      <c r="C49" s="554" t="s">
        <v>7168</v>
      </c>
      <c r="D49" s="562" t="s">
        <v>6666</v>
      </c>
      <c r="E49" s="556" t="s">
        <v>7169</v>
      </c>
      <c r="F49" s="772" t="s">
        <v>7170</v>
      </c>
      <c r="G49" s="772"/>
      <c r="H49" s="772"/>
      <c r="I49" s="772"/>
      <c r="J49" s="772"/>
      <c r="K49" s="772"/>
      <c r="L49" s="772"/>
      <c r="AE49" s="552"/>
      <c r="AF49" s="552"/>
      <c r="AG49" s="186">
        <v>1</v>
      </c>
      <c r="AH49" s="193"/>
      <c r="AI49" s="193"/>
    </row>
    <row r="50" spans="3:35" ht="21" customHeight="1">
      <c r="C50" s="557" t="s">
        <v>7171</v>
      </c>
      <c r="D50" s="563" t="s">
        <v>6666</v>
      </c>
      <c r="E50" s="559" t="s">
        <v>7172</v>
      </c>
      <c r="F50" s="817" t="s">
        <v>7173</v>
      </c>
      <c r="G50" s="817"/>
      <c r="H50" s="817"/>
      <c r="I50" s="817"/>
      <c r="J50" s="817"/>
      <c r="K50" s="817"/>
      <c r="L50" s="817"/>
      <c r="AE50" s="552"/>
      <c r="AF50" s="552"/>
      <c r="AG50" s="186">
        <v>1</v>
      </c>
    </row>
    <row r="51" spans="3:35" ht="21" customHeight="1">
      <c r="C51" s="554" t="s">
        <v>7174</v>
      </c>
      <c r="D51" s="556" t="s">
        <v>6666</v>
      </c>
      <c r="E51" s="556" t="s">
        <v>7175</v>
      </c>
      <c r="F51" s="772" t="s">
        <v>7176</v>
      </c>
      <c r="G51" s="772"/>
      <c r="H51" s="772"/>
      <c r="I51" s="772"/>
      <c r="J51" s="772"/>
      <c r="K51" s="772"/>
      <c r="L51" s="772"/>
      <c r="AE51" s="552"/>
      <c r="AF51" s="552"/>
      <c r="AG51" s="186">
        <v>1</v>
      </c>
    </row>
    <row r="52" spans="3:35" ht="21" customHeight="1">
      <c r="C52" s="557" t="s">
        <v>7081</v>
      </c>
      <c r="D52" s="564" t="s">
        <v>6666</v>
      </c>
      <c r="E52" s="559" t="s">
        <v>7177</v>
      </c>
      <c r="F52" s="817" t="s">
        <v>7178</v>
      </c>
      <c r="G52" s="817"/>
      <c r="H52" s="817"/>
      <c r="I52" s="817"/>
      <c r="J52" s="817"/>
      <c r="K52" s="817"/>
      <c r="L52" s="817"/>
      <c r="AE52" s="552"/>
      <c r="AF52" s="552"/>
      <c r="AG52" s="186">
        <v>1</v>
      </c>
    </row>
    <row r="53" spans="3:35" ht="21" customHeight="1">
      <c r="C53" s="554" t="s">
        <v>7179</v>
      </c>
      <c r="D53" s="565" t="s">
        <v>6666</v>
      </c>
      <c r="E53" s="556" t="s">
        <v>7180</v>
      </c>
      <c r="F53" s="772" t="s">
        <v>7181</v>
      </c>
      <c r="G53" s="772"/>
      <c r="H53" s="772"/>
      <c r="I53" s="772"/>
      <c r="J53" s="772"/>
      <c r="K53" s="772"/>
      <c r="L53" s="772"/>
      <c r="AE53" s="552"/>
      <c r="AF53" s="552"/>
      <c r="AG53" s="186">
        <v>1</v>
      </c>
    </row>
    <row r="54" spans="3:35" ht="21" customHeight="1">
      <c r="C54" s="557" t="s">
        <v>7182</v>
      </c>
      <c r="D54" s="566"/>
      <c r="E54" s="559" t="s">
        <v>7183</v>
      </c>
      <c r="F54" s="817" t="s">
        <v>7184</v>
      </c>
      <c r="G54" s="817"/>
      <c r="H54" s="817"/>
      <c r="I54" s="817"/>
      <c r="J54" s="817"/>
      <c r="K54" s="817"/>
      <c r="L54" s="817"/>
      <c r="AE54" s="552"/>
      <c r="AF54" s="552"/>
      <c r="AG54" s="186">
        <v>1</v>
      </c>
    </row>
    <row r="55" spans="3:35" ht="30" customHeight="1">
      <c r="AE55" s="552"/>
      <c r="AF55" s="552"/>
      <c r="AG55" s="186">
        <v>1</v>
      </c>
    </row>
    <row r="56" spans="3:35" ht="30" customHeight="1">
      <c r="AE56" s="552"/>
      <c r="AF56" s="552"/>
      <c r="AG56" s="186">
        <v>1</v>
      </c>
    </row>
    <row r="57" spans="3:35" ht="30" customHeight="1">
      <c r="C57" s="818" t="s">
        <v>7185</v>
      </c>
      <c r="D57" s="818"/>
      <c r="E57" s="818"/>
      <c r="F57" s="818"/>
      <c r="G57" s="818"/>
      <c r="H57" s="818"/>
      <c r="I57" s="818"/>
      <c r="J57" s="818"/>
      <c r="K57" s="818"/>
      <c r="L57" s="818"/>
      <c r="AE57" s="552"/>
      <c r="AF57" s="552"/>
      <c r="AG57" s="186">
        <v>1</v>
      </c>
    </row>
    <row r="58" spans="3:35" ht="30" customHeight="1">
      <c r="C58" s="778" t="s">
        <v>7123</v>
      </c>
      <c r="D58" s="778"/>
      <c r="E58" s="778"/>
      <c r="F58" s="778"/>
      <c r="G58" s="778"/>
      <c r="H58" s="778"/>
      <c r="I58" s="778"/>
      <c r="J58" s="778"/>
      <c r="K58" s="778"/>
      <c r="L58" s="778"/>
      <c r="AE58" s="552"/>
      <c r="AF58" s="552"/>
      <c r="AG58" s="186">
        <v>1</v>
      </c>
    </row>
    <row r="59" spans="3:35" ht="30" customHeight="1">
      <c r="AE59" s="552"/>
      <c r="AF59" s="552"/>
      <c r="AG59" s="186">
        <v>1</v>
      </c>
    </row>
    <row r="60" spans="3:35" ht="30" customHeight="1">
      <c r="C60" s="819" t="s">
        <v>7124</v>
      </c>
      <c r="D60" s="819"/>
      <c r="E60" s="819"/>
      <c r="F60" s="819"/>
      <c r="G60" s="819"/>
      <c r="H60" s="819"/>
      <c r="I60" s="819"/>
      <c r="J60" s="819"/>
      <c r="K60" s="819"/>
      <c r="L60" s="819"/>
      <c r="AE60" s="552"/>
      <c r="AF60" s="552"/>
      <c r="AG60" s="186">
        <v>1</v>
      </c>
    </row>
    <row r="61" spans="3:35" ht="30" customHeight="1">
      <c r="C61" s="567" t="s">
        <v>7125</v>
      </c>
      <c r="D61" s="543" t="s">
        <v>6666</v>
      </c>
      <c r="E61" s="567" t="s">
        <v>867</v>
      </c>
      <c r="F61" s="543" t="s">
        <v>7126</v>
      </c>
      <c r="G61" s="567" t="s">
        <v>7127</v>
      </c>
      <c r="H61" s="543" t="s">
        <v>7128</v>
      </c>
      <c r="I61" s="567" t="s">
        <v>562</v>
      </c>
      <c r="J61" s="543" t="s">
        <v>6666</v>
      </c>
      <c r="K61" s="567" t="s">
        <v>7015</v>
      </c>
      <c r="L61" s="543" t="s">
        <v>7186</v>
      </c>
      <c r="AE61" s="552"/>
      <c r="AF61" s="552"/>
      <c r="AG61" s="186">
        <v>1</v>
      </c>
    </row>
    <row r="62" spans="3:35" ht="30" customHeight="1">
      <c r="C62" s="567" t="s">
        <v>7130</v>
      </c>
      <c r="D62" s="543" t="s">
        <v>7131</v>
      </c>
      <c r="E62" s="567" t="s">
        <v>7132</v>
      </c>
      <c r="F62" s="543" t="s">
        <v>6666</v>
      </c>
      <c r="G62" s="567" t="s">
        <v>7133</v>
      </c>
      <c r="H62" s="543" t="s">
        <v>6666</v>
      </c>
      <c r="I62" s="567" t="s">
        <v>7134</v>
      </c>
      <c r="J62" s="543" t="s">
        <v>6666</v>
      </c>
      <c r="K62" s="567" t="s">
        <v>861</v>
      </c>
      <c r="L62" s="543" t="s">
        <v>7135</v>
      </c>
      <c r="AE62" s="552"/>
      <c r="AF62" s="552"/>
      <c r="AG62" s="186">
        <v>1</v>
      </c>
    </row>
    <row r="63" spans="3:35" ht="30" customHeight="1">
      <c r="AE63" s="552"/>
      <c r="AF63" s="552"/>
      <c r="AG63" s="186">
        <v>1</v>
      </c>
    </row>
    <row r="64" spans="3:35" ht="30" customHeight="1">
      <c r="C64" s="819" t="s">
        <v>7136</v>
      </c>
      <c r="D64" s="819"/>
      <c r="E64" s="819"/>
      <c r="F64" s="819"/>
      <c r="G64" s="819"/>
      <c r="H64" s="819"/>
      <c r="I64" s="819"/>
      <c r="J64" s="819"/>
      <c r="K64" s="819"/>
      <c r="L64" s="819"/>
      <c r="AE64" s="552"/>
      <c r="AF64" s="552"/>
      <c r="AG64" s="186">
        <v>1</v>
      </c>
    </row>
    <row r="65" spans="3:33" ht="30" customHeight="1">
      <c r="C65" s="568" t="s">
        <v>908</v>
      </c>
      <c r="D65" s="568" t="s">
        <v>7137</v>
      </c>
      <c r="E65" s="568" t="s">
        <v>7138</v>
      </c>
      <c r="F65" s="568" t="s">
        <v>7139</v>
      </c>
      <c r="G65" s="568" t="s">
        <v>7140</v>
      </c>
      <c r="H65" s="568" t="s">
        <v>7141</v>
      </c>
      <c r="I65" s="568" t="s">
        <v>7142</v>
      </c>
      <c r="J65" s="568" t="s">
        <v>6400</v>
      </c>
      <c r="K65" s="568" t="s">
        <v>7143</v>
      </c>
      <c r="L65" s="568" t="s">
        <v>861</v>
      </c>
      <c r="AE65" s="552"/>
      <c r="AF65" s="552"/>
      <c r="AG65" s="186">
        <v>1</v>
      </c>
    </row>
    <row r="66" spans="3:33" ht="30" customHeight="1">
      <c r="C66" s="545">
        <v>1</v>
      </c>
      <c r="D66" s="546" t="s">
        <v>7144</v>
      </c>
      <c r="E66" s="546" t="s">
        <v>56</v>
      </c>
      <c r="F66" s="545">
        <v>100</v>
      </c>
      <c r="G66" s="545">
        <v>0</v>
      </c>
      <c r="H66" s="545" t="s">
        <v>6666</v>
      </c>
      <c r="I66" s="546" t="s">
        <v>7145</v>
      </c>
      <c r="J66" s="546" t="s">
        <v>6666</v>
      </c>
      <c r="K66" s="546" t="s">
        <v>7146</v>
      </c>
      <c r="L66" s="546" t="s">
        <v>6667</v>
      </c>
      <c r="AE66" s="552"/>
      <c r="AF66" s="552"/>
      <c r="AG66" s="186">
        <v>1</v>
      </c>
    </row>
    <row r="67" spans="3:33" ht="30" customHeight="1">
      <c r="C67" s="569">
        <v>2</v>
      </c>
      <c r="D67" s="570" t="s">
        <v>7147</v>
      </c>
      <c r="E67" s="570" t="s">
        <v>22</v>
      </c>
      <c r="F67" s="569">
        <v>50</v>
      </c>
      <c r="G67" s="569">
        <v>0</v>
      </c>
      <c r="H67" s="569" t="s">
        <v>6666</v>
      </c>
      <c r="I67" s="570" t="s">
        <v>7148</v>
      </c>
      <c r="J67" s="570" t="s">
        <v>6666</v>
      </c>
      <c r="K67" s="570" t="s">
        <v>6666</v>
      </c>
      <c r="L67" s="570" t="s">
        <v>6666</v>
      </c>
      <c r="AE67" s="552"/>
      <c r="AF67" s="552"/>
      <c r="AG67" s="186">
        <v>1</v>
      </c>
    </row>
    <row r="68" spans="3:33" ht="30" customHeight="1">
      <c r="C68" s="545">
        <v>3</v>
      </c>
      <c r="D68" s="546" t="s">
        <v>6666</v>
      </c>
      <c r="E68" s="546" t="s">
        <v>6666</v>
      </c>
      <c r="F68" s="545" t="s">
        <v>6666</v>
      </c>
      <c r="G68" s="545" t="s">
        <v>6666</v>
      </c>
      <c r="H68" s="545" t="s">
        <v>6666</v>
      </c>
      <c r="I68" s="546" t="s">
        <v>6666</v>
      </c>
      <c r="J68" s="546" t="s">
        <v>6666</v>
      </c>
      <c r="K68" s="546" t="s">
        <v>6666</v>
      </c>
      <c r="L68" s="546" t="s">
        <v>6666</v>
      </c>
      <c r="AE68" s="552"/>
      <c r="AF68" s="552"/>
      <c r="AG68" s="186">
        <v>1</v>
      </c>
    </row>
    <row r="69" spans="3:33" ht="30" customHeight="1">
      <c r="C69" s="569">
        <v>4</v>
      </c>
      <c r="D69" s="570" t="s">
        <v>6666</v>
      </c>
      <c r="E69" s="570" t="s">
        <v>6666</v>
      </c>
      <c r="F69" s="569" t="s">
        <v>6666</v>
      </c>
      <c r="G69" s="569" t="s">
        <v>6666</v>
      </c>
      <c r="H69" s="569" t="s">
        <v>6666</v>
      </c>
      <c r="I69" s="570" t="s">
        <v>6666</v>
      </c>
      <c r="J69" s="570" t="s">
        <v>6666</v>
      </c>
      <c r="K69" s="570" t="s">
        <v>6666</v>
      </c>
      <c r="L69" s="570" t="s">
        <v>6666</v>
      </c>
      <c r="AE69" s="552"/>
      <c r="AF69" s="552"/>
      <c r="AG69" s="186">
        <v>1</v>
      </c>
    </row>
    <row r="70" spans="3:33" ht="30" customHeight="1" thickBot="1">
      <c r="C70" s="545">
        <v>5</v>
      </c>
      <c r="D70" s="546" t="s">
        <v>6666</v>
      </c>
      <c r="E70" s="546" t="s">
        <v>6666</v>
      </c>
      <c r="F70" s="545" t="s">
        <v>6666</v>
      </c>
      <c r="G70" s="545" t="s">
        <v>6666</v>
      </c>
      <c r="H70" s="545" t="s">
        <v>6666</v>
      </c>
      <c r="I70" s="546" t="s">
        <v>6666</v>
      </c>
      <c r="J70" s="546" t="s">
        <v>6666</v>
      </c>
      <c r="K70" s="546" t="s">
        <v>6666</v>
      </c>
      <c r="L70" s="546" t="s">
        <v>6666</v>
      </c>
      <c r="AE70" s="552"/>
      <c r="AF70" s="552"/>
      <c r="AG70" s="186">
        <v>1</v>
      </c>
    </row>
    <row r="71" spans="3:33" ht="30" customHeight="1">
      <c r="C71" s="571"/>
      <c r="D71" s="572" t="s">
        <v>203</v>
      </c>
      <c r="E71" s="571"/>
      <c r="F71" s="571"/>
      <c r="G71" s="571"/>
      <c r="H71" s="571"/>
      <c r="I71" s="571"/>
      <c r="J71" s="571"/>
      <c r="K71" s="571"/>
      <c r="L71" s="571"/>
      <c r="AE71" s="552"/>
      <c r="AF71" s="552"/>
      <c r="AG71" s="186">
        <v>1</v>
      </c>
    </row>
    <row r="72" spans="3:33" ht="30" customHeight="1">
      <c r="AE72" s="552"/>
      <c r="AF72" s="552"/>
      <c r="AG72" s="186">
        <v>1</v>
      </c>
    </row>
    <row r="73" spans="3:33" ht="21" customHeight="1">
      <c r="C73" s="819" t="s">
        <v>7149</v>
      </c>
      <c r="D73" s="819"/>
      <c r="E73" s="819"/>
      <c r="F73" s="819"/>
      <c r="G73" s="819"/>
      <c r="H73" s="819"/>
      <c r="I73" s="819"/>
      <c r="J73" s="819"/>
      <c r="K73" s="819"/>
      <c r="L73" s="819"/>
      <c r="AE73" s="552"/>
      <c r="AF73" s="552"/>
      <c r="AG73" s="186">
        <v>1</v>
      </c>
    </row>
    <row r="74" spans="3:33" ht="21" customHeight="1">
      <c r="C74" s="814" t="s">
        <v>7150</v>
      </c>
      <c r="D74" s="814"/>
      <c r="E74" s="814"/>
      <c r="F74" s="814"/>
      <c r="G74" s="814"/>
      <c r="H74" s="814"/>
      <c r="I74" s="814"/>
      <c r="J74" s="814"/>
      <c r="K74" s="814"/>
      <c r="L74" s="814"/>
      <c r="AE74" s="552"/>
      <c r="AF74" s="552"/>
      <c r="AG74" s="186">
        <v>1</v>
      </c>
    </row>
    <row r="75" spans="3:33" ht="21" customHeight="1">
      <c r="C75" s="814"/>
      <c r="D75" s="814"/>
      <c r="E75" s="814"/>
      <c r="F75" s="814"/>
      <c r="G75" s="814"/>
      <c r="H75" s="814"/>
      <c r="I75" s="814"/>
      <c r="J75" s="814"/>
      <c r="K75" s="814"/>
      <c r="L75" s="814"/>
      <c r="AE75" s="552"/>
      <c r="AF75" s="552"/>
      <c r="AG75" s="186">
        <v>1</v>
      </c>
    </row>
    <row r="76" spans="3:33" ht="21" customHeight="1">
      <c r="C76" s="814"/>
      <c r="D76" s="814"/>
      <c r="E76" s="814"/>
      <c r="F76" s="814"/>
      <c r="G76" s="814"/>
      <c r="H76" s="814"/>
      <c r="I76" s="814"/>
      <c r="J76" s="814"/>
      <c r="K76" s="814"/>
      <c r="L76" s="814"/>
      <c r="AE76" s="552"/>
      <c r="AF76" s="552"/>
      <c r="AG76" s="186">
        <v>1</v>
      </c>
    </row>
    <row r="77" spans="3:33" ht="21" customHeight="1">
      <c r="AE77" s="552"/>
      <c r="AF77" s="552"/>
      <c r="AG77" s="186">
        <v>1</v>
      </c>
    </row>
    <row r="78" spans="3:33" ht="21" customHeight="1">
      <c r="C78" s="815" t="s">
        <v>7151</v>
      </c>
      <c r="D78" s="815"/>
      <c r="E78" s="815"/>
      <c r="F78" s="815"/>
      <c r="G78" s="815"/>
      <c r="H78" s="815"/>
      <c r="I78" s="815"/>
      <c r="J78" s="815"/>
      <c r="K78" s="815"/>
      <c r="L78" s="815"/>
      <c r="AE78" s="552"/>
      <c r="AF78" s="552"/>
      <c r="AG78" s="186">
        <v>1</v>
      </c>
    </row>
    <row r="79" spans="3:33" ht="21" customHeight="1">
      <c r="C79" s="573" t="s">
        <v>7152</v>
      </c>
      <c r="D79" s="573" t="s">
        <v>7153</v>
      </c>
      <c r="E79" s="573" t="s">
        <v>7154</v>
      </c>
      <c r="F79" s="816" t="s">
        <v>7155</v>
      </c>
      <c r="G79" s="816"/>
      <c r="H79" s="816"/>
      <c r="I79" s="816"/>
      <c r="J79" s="816"/>
      <c r="K79" s="816"/>
      <c r="L79" s="816"/>
      <c r="AE79" s="552"/>
      <c r="AF79" s="552"/>
      <c r="AG79" s="186">
        <v>1</v>
      </c>
    </row>
    <row r="80" spans="3:33" ht="21" customHeight="1">
      <c r="C80" s="554" t="s">
        <v>7156</v>
      </c>
      <c r="D80" s="574" t="s">
        <v>6666</v>
      </c>
      <c r="E80" s="556" t="s">
        <v>7187</v>
      </c>
      <c r="F80" s="772" t="s">
        <v>7158</v>
      </c>
      <c r="G80" s="772"/>
      <c r="H80" s="772"/>
      <c r="I80" s="772"/>
      <c r="J80" s="772"/>
      <c r="K80" s="772"/>
      <c r="L80" s="772"/>
      <c r="AE80" s="552"/>
      <c r="AF80" s="552"/>
      <c r="AG80" s="186">
        <v>1</v>
      </c>
    </row>
    <row r="81" spans="3:33" ht="21" customHeight="1">
      <c r="C81" s="575" t="s">
        <v>7159</v>
      </c>
      <c r="D81" s="576" t="s">
        <v>6666</v>
      </c>
      <c r="E81" s="577" t="s">
        <v>7188</v>
      </c>
      <c r="F81" s="811" t="s">
        <v>7161</v>
      </c>
      <c r="G81" s="811"/>
      <c r="H81" s="811"/>
      <c r="I81" s="811"/>
      <c r="J81" s="811"/>
      <c r="K81" s="811"/>
      <c r="L81" s="811"/>
      <c r="AE81" s="552"/>
      <c r="AF81" s="552"/>
      <c r="AG81" s="186">
        <v>1</v>
      </c>
    </row>
    <row r="82" spans="3:33" ht="21" customHeight="1">
      <c r="C82" s="554" t="s">
        <v>7162</v>
      </c>
      <c r="D82" s="578" t="s">
        <v>6666</v>
      </c>
      <c r="E82" s="556" t="s">
        <v>7189</v>
      </c>
      <c r="F82" s="772" t="s">
        <v>7164</v>
      </c>
      <c r="G82" s="772"/>
      <c r="H82" s="772"/>
      <c r="I82" s="772"/>
      <c r="J82" s="772"/>
      <c r="K82" s="772"/>
      <c r="L82" s="772"/>
      <c r="AE82" s="552"/>
      <c r="AF82" s="552"/>
      <c r="AG82" s="186">
        <v>1</v>
      </c>
    </row>
    <row r="83" spans="3:33" ht="21" customHeight="1">
      <c r="C83" s="575" t="s">
        <v>7165</v>
      </c>
      <c r="D83" s="579" t="s">
        <v>6666</v>
      </c>
      <c r="E83" s="577" t="s">
        <v>7190</v>
      </c>
      <c r="F83" s="811" t="s">
        <v>7167</v>
      </c>
      <c r="G83" s="811"/>
      <c r="H83" s="811"/>
      <c r="I83" s="811"/>
      <c r="J83" s="811"/>
      <c r="K83" s="811"/>
      <c r="L83" s="811"/>
      <c r="AE83" s="552"/>
      <c r="AF83" s="552"/>
      <c r="AG83" s="186">
        <v>1</v>
      </c>
    </row>
    <row r="84" spans="3:33" ht="21" customHeight="1">
      <c r="C84" s="554" t="s">
        <v>7168</v>
      </c>
      <c r="D84" s="580" t="s">
        <v>6666</v>
      </c>
      <c r="E84" s="556" t="s">
        <v>7191</v>
      </c>
      <c r="F84" s="772" t="s">
        <v>7170</v>
      </c>
      <c r="G84" s="772"/>
      <c r="H84" s="772"/>
      <c r="I84" s="772"/>
      <c r="J84" s="772"/>
      <c r="K84" s="772"/>
      <c r="L84" s="772"/>
      <c r="AE84" s="552"/>
      <c r="AF84" s="552"/>
      <c r="AG84" s="186">
        <v>1</v>
      </c>
    </row>
    <row r="85" spans="3:33" ht="21" customHeight="1">
      <c r="C85" s="575" t="s">
        <v>7171</v>
      </c>
      <c r="D85" s="576" t="s">
        <v>6666</v>
      </c>
      <c r="E85" s="577" t="s">
        <v>7188</v>
      </c>
      <c r="F85" s="811" t="s">
        <v>7173</v>
      </c>
      <c r="G85" s="811"/>
      <c r="H85" s="811"/>
      <c r="I85" s="811"/>
      <c r="J85" s="811"/>
      <c r="K85" s="811"/>
      <c r="L85" s="811"/>
      <c r="AE85" s="552"/>
      <c r="AF85" s="552"/>
      <c r="AG85" s="186">
        <v>1</v>
      </c>
    </row>
    <row r="86" spans="3:33" ht="21" customHeight="1">
      <c r="C86" s="554" t="s">
        <v>7174</v>
      </c>
      <c r="D86" s="556" t="s">
        <v>6666</v>
      </c>
      <c r="E86" s="556" t="s">
        <v>7175</v>
      </c>
      <c r="F86" s="772" t="s">
        <v>7176</v>
      </c>
      <c r="G86" s="772"/>
      <c r="H86" s="772"/>
      <c r="I86" s="772"/>
      <c r="J86" s="772"/>
      <c r="K86" s="772"/>
      <c r="L86" s="772"/>
      <c r="AE86" s="552"/>
      <c r="AF86" s="552"/>
      <c r="AG86" s="186">
        <v>1</v>
      </c>
    </row>
    <row r="87" spans="3:33" ht="21" customHeight="1">
      <c r="C87" s="575" t="s">
        <v>7081</v>
      </c>
      <c r="D87" s="564" t="s">
        <v>6666</v>
      </c>
      <c r="E87" s="577" t="s">
        <v>7177</v>
      </c>
      <c r="F87" s="811" t="s">
        <v>7178</v>
      </c>
      <c r="G87" s="811"/>
      <c r="H87" s="811"/>
      <c r="I87" s="811"/>
      <c r="J87" s="811"/>
      <c r="K87" s="811"/>
      <c r="L87" s="811"/>
      <c r="AE87" s="552"/>
      <c r="AF87" s="552"/>
      <c r="AG87" s="186">
        <v>1</v>
      </c>
    </row>
    <row r="88" spans="3:33" ht="21" customHeight="1">
      <c r="C88" s="554" t="s">
        <v>7179</v>
      </c>
      <c r="D88" s="565" t="s">
        <v>6666</v>
      </c>
      <c r="E88" s="556" t="s">
        <v>7180</v>
      </c>
      <c r="F88" s="772" t="s">
        <v>7181</v>
      </c>
      <c r="G88" s="772"/>
      <c r="H88" s="772"/>
      <c r="I88" s="772"/>
      <c r="J88" s="772"/>
      <c r="K88" s="772"/>
      <c r="L88" s="772"/>
      <c r="AE88" s="552"/>
      <c r="AF88" s="552"/>
      <c r="AG88" s="186">
        <v>1</v>
      </c>
    </row>
    <row r="89" spans="3:33" ht="21" customHeight="1">
      <c r="C89" s="575" t="s">
        <v>7182</v>
      </c>
      <c r="D89" s="566"/>
      <c r="E89" s="577" t="s">
        <v>7183</v>
      </c>
      <c r="F89" s="811" t="s">
        <v>7184</v>
      </c>
      <c r="G89" s="811"/>
      <c r="H89" s="811"/>
      <c r="I89" s="811"/>
      <c r="J89" s="811"/>
      <c r="K89" s="811"/>
      <c r="L89" s="811"/>
      <c r="AE89" s="552"/>
      <c r="AF89" s="552"/>
      <c r="AG89" s="186">
        <v>1</v>
      </c>
    </row>
    <row r="90" spans="3:33" ht="30" customHeight="1">
      <c r="AE90" s="552"/>
      <c r="AF90" s="552"/>
      <c r="AG90" s="186">
        <v>1</v>
      </c>
    </row>
    <row r="91" spans="3:33" ht="30" customHeight="1">
      <c r="AE91" s="552"/>
      <c r="AF91" s="552"/>
      <c r="AG91" s="186">
        <v>1</v>
      </c>
    </row>
    <row r="92" spans="3:33" ht="30" customHeight="1">
      <c r="C92" s="812" t="s">
        <v>7192</v>
      </c>
      <c r="D92" s="812"/>
      <c r="E92" s="812"/>
      <c r="F92" s="812"/>
      <c r="G92" s="812"/>
      <c r="H92" s="812"/>
      <c r="I92" s="812"/>
      <c r="J92" s="812"/>
      <c r="K92" s="812"/>
      <c r="L92" s="812"/>
      <c r="AE92" s="552"/>
      <c r="AF92" s="552"/>
      <c r="AG92" s="186">
        <v>1</v>
      </c>
    </row>
    <row r="93" spans="3:33" ht="30" customHeight="1">
      <c r="C93" s="778" t="s">
        <v>7123</v>
      </c>
      <c r="D93" s="778"/>
      <c r="E93" s="778"/>
      <c r="F93" s="778"/>
      <c r="G93" s="778"/>
      <c r="H93" s="778"/>
      <c r="I93" s="778"/>
      <c r="J93" s="778"/>
      <c r="K93" s="778"/>
      <c r="L93" s="778"/>
      <c r="AE93" s="552"/>
      <c r="AF93" s="552"/>
      <c r="AG93" s="186">
        <v>1</v>
      </c>
    </row>
    <row r="94" spans="3:33" ht="30" customHeight="1">
      <c r="AE94" s="552"/>
      <c r="AF94" s="552"/>
      <c r="AG94" s="186">
        <v>1</v>
      </c>
    </row>
    <row r="95" spans="3:33" ht="30" customHeight="1">
      <c r="C95" s="813" t="s">
        <v>7124</v>
      </c>
      <c r="D95" s="813"/>
      <c r="E95" s="813"/>
      <c r="F95" s="813"/>
      <c r="G95" s="813"/>
      <c r="H95" s="813"/>
      <c r="I95" s="813"/>
      <c r="J95" s="813"/>
      <c r="K95" s="813"/>
      <c r="L95" s="813"/>
      <c r="AE95" s="552"/>
      <c r="AF95" s="552"/>
      <c r="AG95" s="186">
        <v>1</v>
      </c>
    </row>
    <row r="96" spans="3:33" ht="30" customHeight="1">
      <c r="C96" s="581" t="s">
        <v>7125</v>
      </c>
      <c r="D96" s="543" t="s">
        <v>6666</v>
      </c>
      <c r="E96" s="581" t="s">
        <v>867</v>
      </c>
      <c r="F96" s="543" t="s">
        <v>7126</v>
      </c>
      <c r="G96" s="581" t="s">
        <v>7127</v>
      </c>
      <c r="H96" s="543" t="s">
        <v>7128</v>
      </c>
      <c r="I96" s="581" t="s">
        <v>562</v>
      </c>
      <c r="J96" s="543" t="s">
        <v>6666</v>
      </c>
      <c r="K96" s="581" t="s">
        <v>7015</v>
      </c>
      <c r="L96" s="543" t="s">
        <v>7193</v>
      </c>
      <c r="AE96" s="552"/>
      <c r="AF96" s="552"/>
      <c r="AG96" s="186">
        <v>1</v>
      </c>
    </row>
    <row r="97" spans="3:33" ht="30" customHeight="1">
      <c r="C97" s="581" t="s">
        <v>7130</v>
      </c>
      <c r="D97" s="543" t="s">
        <v>7131</v>
      </c>
      <c r="E97" s="581" t="s">
        <v>7132</v>
      </c>
      <c r="F97" s="543" t="s">
        <v>6666</v>
      </c>
      <c r="G97" s="581" t="s">
        <v>7133</v>
      </c>
      <c r="H97" s="543" t="s">
        <v>6666</v>
      </c>
      <c r="I97" s="581" t="s">
        <v>7134</v>
      </c>
      <c r="J97" s="543" t="s">
        <v>6666</v>
      </c>
      <c r="K97" s="581" t="s">
        <v>861</v>
      </c>
      <c r="L97" s="543" t="s">
        <v>7135</v>
      </c>
      <c r="AE97" s="552"/>
      <c r="AF97" s="552"/>
      <c r="AG97" s="186">
        <v>1</v>
      </c>
    </row>
    <row r="98" spans="3:33" ht="30" customHeight="1">
      <c r="AE98" s="552"/>
      <c r="AF98" s="552"/>
      <c r="AG98" s="186">
        <v>1</v>
      </c>
    </row>
    <row r="99" spans="3:33" ht="30" customHeight="1">
      <c r="C99" s="813" t="s">
        <v>7136</v>
      </c>
      <c r="D99" s="813"/>
      <c r="E99" s="813"/>
      <c r="F99" s="813"/>
      <c r="G99" s="813"/>
      <c r="H99" s="813"/>
      <c r="I99" s="813"/>
      <c r="J99" s="813"/>
      <c r="K99" s="813"/>
      <c r="L99" s="813"/>
      <c r="AE99" s="552"/>
      <c r="AF99" s="552"/>
      <c r="AG99" s="186">
        <v>1</v>
      </c>
    </row>
    <row r="100" spans="3:33" ht="30" customHeight="1">
      <c r="C100" s="582" t="s">
        <v>908</v>
      </c>
      <c r="D100" s="582" t="s">
        <v>7137</v>
      </c>
      <c r="E100" s="582" t="s">
        <v>7138</v>
      </c>
      <c r="F100" s="582" t="s">
        <v>7139</v>
      </c>
      <c r="G100" s="582" t="s">
        <v>7140</v>
      </c>
      <c r="H100" s="582" t="s">
        <v>7141</v>
      </c>
      <c r="I100" s="582" t="s">
        <v>7142</v>
      </c>
      <c r="J100" s="582" t="s">
        <v>6400</v>
      </c>
      <c r="K100" s="582" t="s">
        <v>7143</v>
      </c>
      <c r="L100" s="582" t="s">
        <v>861</v>
      </c>
      <c r="AE100" s="552"/>
      <c r="AF100" s="552"/>
      <c r="AG100" s="186">
        <v>1</v>
      </c>
    </row>
    <row r="101" spans="3:33" ht="30" customHeight="1">
      <c r="C101" s="545">
        <v>1</v>
      </c>
      <c r="D101" s="546" t="s">
        <v>7144</v>
      </c>
      <c r="E101" s="546" t="s">
        <v>56</v>
      </c>
      <c r="F101" s="545">
        <v>100</v>
      </c>
      <c r="G101" s="545">
        <v>0</v>
      </c>
      <c r="H101" s="545" t="s">
        <v>6666</v>
      </c>
      <c r="I101" s="546" t="s">
        <v>7145</v>
      </c>
      <c r="J101" s="546" t="s">
        <v>6666</v>
      </c>
      <c r="K101" s="546" t="s">
        <v>7146</v>
      </c>
      <c r="L101" s="546" t="s">
        <v>6667</v>
      </c>
      <c r="AE101" s="552"/>
      <c r="AF101" s="552"/>
      <c r="AG101" s="186">
        <v>1</v>
      </c>
    </row>
    <row r="102" spans="3:33" ht="30" customHeight="1">
      <c r="C102" s="583">
        <v>2</v>
      </c>
      <c r="D102" s="584" t="s">
        <v>7147</v>
      </c>
      <c r="E102" s="584" t="s">
        <v>22</v>
      </c>
      <c r="F102" s="583">
        <v>50</v>
      </c>
      <c r="G102" s="583">
        <v>0</v>
      </c>
      <c r="H102" s="583" t="s">
        <v>6666</v>
      </c>
      <c r="I102" s="584" t="s">
        <v>7148</v>
      </c>
      <c r="J102" s="584" t="s">
        <v>6666</v>
      </c>
      <c r="K102" s="584" t="s">
        <v>6666</v>
      </c>
      <c r="L102" s="584" t="s">
        <v>6666</v>
      </c>
      <c r="AE102" s="552"/>
      <c r="AF102" s="552"/>
      <c r="AG102" s="186">
        <v>1</v>
      </c>
    </row>
    <row r="103" spans="3:33" ht="30" customHeight="1">
      <c r="C103" s="545">
        <v>3</v>
      </c>
      <c r="D103" s="546" t="s">
        <v>6666</v>
      </c>
      <c r="E103" s="546" t="s">
        <v>6666</v>
      </c>
      <c r="F103" s="545" t="s">
        <v>6666</v>
      </c>
      <c r="G103" s="545" t="s">
        <v>6666</v>
      </c>
      <c r="H103" s="545" t="s">
        <v>6666</v>
      </c>
      <c r="I103" s="546" t="s">
        <v>6666</v>
      </c>
      <c r="J103" s="546" t="s">
        <v>6666</v>
      </c>
      <c r="K103" s="546" t="s">
        <v>6666</v>
      </c>
      <c r="L103" s="546" t="s">
        <v>6666</v>
      </c>
      <c r="AE103" s="552"/>
      <c r="AF103" s="552"/>
      <c r="AG103" s="186">
        <v>1</v>
      </c>
    </row>
    <row r="104" spans="3:33" ht="30" customHeight="1">
      <c r="C104" s="583">
        <v>4</v>
      </c>
      <c r="D104" s="584" t="s">
        <v>6666</v>
      </c>
      <c r="E104" s="584" t="s">
        <v>6666</v>
      </c>
      <c r="F104" s="583" t="s">
        <v>6666</v>
      </c>
      <c r="G104" s="583" t="s">
        <v>6666</v>
      </c>
      <c r="H104" s="583" t="s">
        <v>6666</v>
      </c>
      <c r="I104" s="584" t="s">
        <v>6666</v>
      </c>
      <c r="J104" s="584" t="s">
        <v>6666</v>
      </c>
      <c r="K104" s="584" t="s">
        <v>6666</v>
      </c>
      <c r="L104" s="584" t="s">
        <v>6666</v>
      </c>
      <c r="AE104" s="552"/>
      <c r="AF104" s="552"/>
      <c r="AG104" s="186">
        <v>1</v>
      </c>
    </row>
    <row r="105" spans="3:33" ht="30" customHeight="1" thickBot="1">
      <c r="C105" s="545">
        <v>5</v>
      </c>
      <c r="D105" s="546" t="s">
        <v>6666</v>
      </c>
      <c r="E105" s="546" t="s">
        <v>6666</v>
      </c>
      <c r="F105" s="545" t="s">
        <v>6666</v>
      </c>
      <c r="G105" s="545" t="s">
        <v>6666</v>
      </c>
      <c r="H105" s="545" t="s">
        <v>6666</v>
      </c>
      <c r="I105" s="546" t="s">
        <v>6666</v>
      </c>
      <c r="J105" s="546" t="s">
        <v>6666</v>
      </c>
      <c r="K105" s="546" t="s">
        <v>6666</v>
      </c>
      <c r="L105" s="546" t="s">
        <v>6666</v>
      </c>
      <c r="AE105" s="552"/>
      <c r="AF105" s="552"/>
      <c r="AG105" s="186">
        <v>1</v>
      </c>
    </row>
    <row r="106" spans="3:33" ht="30" customHeight="1">
      <c r="C106" s="585"/>
      <c r="D106" s="586" t="s">
        <v>203</v>
      </c>
      <c r="E106" s="585"/>
      <c r="F106" s="585"/>
      <c r="G106" s="585"/>
      <c r="H106" s="585"/>
      <c r="I106" s="585"/>
      <c r="J106" s="585"/>
      <c r="K106" s="585"/>
      <c r="L106" s="585"/>
      <c r="AE106" s="552"/>
      <c r="AF106" s="552"/>
      <c r="AG106" s="186">
        <v>1</v>
      </c>
    </row>
    <row r="107" spans="3:33" ht="30" customHeight="1">
      <c r="AE107" s="552"/>
      <c r="AF107" s="552"/>
      <c r="AG107" s="186">
        <v>1</v>
      </c>
    </row>
    <row r="108" spans="3:33" ht="21" customHeight="1">
      <c r="C108" s="813" t="s">
        <v>7149</v>
      </c>
      <c r="D108" s="813"/>
      <c r="E108" s="813"/>
      <c r="F108" s="813"/>
      <c r="G108" s="813"/>
      <c r="H108" s="813"/>
      <c r="I108" s="813"/>
      <c r="J108" s="813"/>
      <c r="K108" s="813"/>
      <c r="L108" s="813"/>
      <c r="AE108" s="552"/>
      <c r="AF108" s="552"/>
      <c r="AG108" s="186">
        <v>1</v>
      </c>
    </row>
    <row r="109" spans="3:33" ht="21" customHeight="1">
      <c r="C109" s="808" t="s">
        <v>7150</v>
      </c>
      <c r="D109" s="808"/>
      <c r="E109" s="808"/>
      <c r="F109" s="808"/>
      <c r="G109" s="808"/>
      <c r="H109" s="808"/>
      <c r="I109" s="808"/>
      <c r="J109" s="808"/>
      <c r="K109" s="808"/>
      <c r="L109" s="808"/>
      <c r="AE109" s="552"/>
      <c r="AF109" s="552"/>
      <c r="AG109" s="186">
        <v>1</v>
      </c>
    </row>
    <row r="110" spans="3:33" ht="21" customHeight="1">
      <c r="C110" s="808"/>
      <c r="D110" s="808"/>
      <c r="E110" s="808"/>
      <c r="F110" s="808"/>
      <c r="G110" s="808"/>
      <c r="H110" s="808"/>
      <c r="I110" s="808"/>
      <c r="J110" s="808"/>
      <c r="K110" s="808"/>
      <c r="L110" s="808"/>
      <c r="AE110" s="552"/>
      <c r="AF110" s="552"/>
      <c r="AG110" s="186">
        <v>1</v>
      </c>
    </row>
    <row r="111" spans="3:33" ht="21" customHeight="1">
      <c r="C111" s="808"/>
      <c r="D111" s="808"/>
      <c r="E111" s="808"/>
      <c r="F111" s="808"/>
      <c r="G111" s="808"/>
      <c r="H111" s="808"/>
      <c r="I111" s="808"/>
      <c r="J111" s="808"/>
      <c r="K111" s="808"/>
      <c r="L111" s="808"/>
      <c r="AE111" s="552"/>
      <c r="AF111" s="552"/>
      <c r="AG111" s="186">
        <v>1</v>
      </c>
    </row>
    <row r="112" spans="3:33" ht="21" customHeight="1">
      <c r="AE112" s="552"/>
      <c r="AF112" s="552"/>
      <c r="AG112" s="186">
        <v>1</v>
      </c>
    </row>
    <row r="113" spans="3:33" ht="21" customHeight="1">
      <c r="C113" s="809" t="s">
        <v>7151</v>
      </c>
      <c r="D113" s="809"/>
      <c r="E113" s="809"/>
      <c r="F113" s="809"/>
      <c r="G113" s="809"/>
      <c r="H113" s="809"/>
      <c r="I113" s="809"/>
      <c r="J113" s="809"/>
      <c r="K113" s="809"/>
      <c r="L113" s="809"/>
      <c r="AE113" s="552"/>
      <c r="AF113" s="552"/>
      <c r="AG113" s="186">
        <v>1</v>
      </c>
    </row>
    <row r="114" spans="3:33" ht="21" customHeight="1">
      <c r="C114" s="587" t="s">
        <v>7152</v>
      </c>
      <c r="D114" s="587" t="s">
        <v>7153</v>
      </c>
      <c r="E114" s="587" t="s">
        <v>7154</v>
      </c>
      <c r="F114" s="810" t="s">
        <v>7155</v>
      </c>
      <c r="G114" s="810"/>
      <c r="H114" s="810"/>
      <c r="I114" s="810"/>
      <c r="J114" s="810"/>
      <c r="K114" s="810"/>
      <c r="L114" s="810"/>
      <c r="AE114" s="552"/>
      <c r="AF114" s="552"/>
      <c r="AG114" s="186">
        <v>1</v>
      </c>
    </row>
    <row r="115" spans="3:33" ht="21" customHeight="1">
      <c r="C115" s="554" t="s">
        <v>7156</v>
      </c>
      <c r="D115" s="588" t="s">
        <v>6666</v>
      </c>
      <c r="E115" s="556" t="s">
        <v>7194</v>
      </c>
      <c r="F115" s="772" t="s">
        <v>7158</v>
      </c>
      <c r="G115" s="772"/>
      <c r="H115" s="772"/>
      <c r="I115" s="772"/>
      <c r="J115" s="772"/>
      <c r="K115" s="772"/>
      <c r="L115" s="772"/>
      <c r="AE115" s="552"/>
      <c r="AF115" s="552"/>
      <c r="AG115" s="186">
        <v>1</v>
      </c>
    </row>
    <row r="116" spans="3:33" ht="21" customHeight="1">
      <c r="C116" s="589" t="s">
        <v>7159</v>
      </c>
      <c r="D116" s="590" t="s">
        <v>6666</v>
      </c>
      <c r="E116" s="591" t="s">
        <v>7195</v>
      </c>
      <c r="F116" s="805" t="s">
        <v>7161</v>
      </c>
      <c r="G116" s="805"/>
      <c r="H116" s="805"/>
      <c r="I116" s="805"/>
      <c r="J116" s="805"/>
      <c r="K116" s="805"/>
      <c r="L116" s="805"/>
      <c r="AE116" s="552"/>
      <c r="AF116" s="552"/>
      <c r="AG116" s="186">
        <v>1</v>
      </c>
    </row>
    <row r="117" spans="3:33" ht="21" customHeight="1">
      <c r="C117" s="554" t="s">
        <v>7162</v>
      </c>
      <c r="D117" s="592" t="s">
        <v>6666</v>
      </c>
      <c r="E117" s="556" t="s">
        <v>7196</v>
      </c>
      <c r="F117" s="772" t="s">
        <v>7164</v>
      </c>
      <c r="G117" s="772"/>
      <c r="H117" s="772"/>
      <c r="I117" s="772"/>
      <c r="J117" s="772"/>
      <c r="K117" s="772"/>
      <c r="L117" s="772"/>
      <c r="AE117" s="552"/>
      <c r="AF117" s="552"/>
      <c r="AG117" s="186">
        <v>1</v>
      </c>
    </row>
    <row r="118" spans="3:33" ht="21" customHeight="1">
      <c r="C118" s="589" t="s">
        <v>7165</v>
      </c>
      <c r="D118" s="593" t="s">
        <v>6666</v>
      </c>
      <c r="E118" s="591" t="s">
        <v>7197</v>
      </c>
      <c r="F118" s="805" t="s">
        <v>7167</v>
      </c>
      <c r="G118" s="805"/>
      <c r="H118" s="805"/>
      <c r="I118" s="805"/>
      <c r="J118" s="805"/>
      <c r="K118" s="805"/>
      <c r="L118" s="805"/>
      <c r="AE118" s="552"/>
      <c r="AF118" s="552"/>
      <c r="AG118" s="186">
        <v>1</v>
      </c>
    </row>
    <row r="119" spans="3:33" ht="21" customHeight="1">
      <c r="C119" s="554" t="s">
        <v>7168</v>
      </c>
      <c r="D119" s="594" t="s">
        <v>6666</v>
      </c>
      <c r="E119" s="556" t="s">
        <v>7198</v>
      </c>
      <c r="F119" s="772" t="s">
        <v>7170</v>
      </c>
      <c r="G119" s="772"/>
      <c r="H119" s="772"/>
      <c r="I119" s="772"/>
      <c r="J119" s="772"/>
      <c r="K119" s="772"/>
      <c r="L119" s="772"/>
      <c r="AE119" s="552"/>
      <c r="AF119" s="552"/>
      <c r="AG119" s="186">
        <v>1</v>
      </c>
    </row>
    <row r="120" spans="3:33" ht="21" customHeight="1">
      <c r="C120" s="589" t="s">
        <v>7171</v>
      </c>
      <c r="D120" s="595" t="s">
        <v>6666</v>
      </c>
      <c r="E120" s="591" t="s">
        <v>7199</v>
      </c>
      <c r="F120" s="805" t="s">
        <v>7173</v>
      </c>
      <c r="G120" s="805"/>
      <c r="H120" s="805"/>
      <c r="I120" s="805"/>
      <c r="J120" s="805"/>
      <c r="K120" s="805"/>
      <c r="L120" s="805"/>
      <c r="AE120" s="552"/>
      <c r="AF120" s="552"/>
      <c r="AG120" s="186">
        <v>1</v>
      </c>
    </row>
    <row r="121" spans="3:33" ht="21" customHeight="1">
      <c r="C121" s="554" t="s">
        <v>7174</v>
      </c>
      <c r="D121" s="556" t="s">
        <v>6666</v>
      </c>
      <c r="E121" s="556" t="s">
        <v>7175</v>
      </c>
      <c r="F121" s="772" t="s">
        <v>7176</v>
      </c>
      <c r="G121" s="772"/>
      <c r="H121" s="772"/>
      <c r="I121" s="772"/>
      <c r="J121" s="772"/>
      <c r="K121" s="772"/>
      <c r="L121" s="772"/>
      <c r="AE121" s="552"/>
      <c r="AF121" s="552"/>
      <c r="AG121" s="186">
        <v>1</v>
      </c>
    </row>
    <row r="122" spans="3:33" ht="21" customHeight="1">
      <c r="C122" s="589" t="s">
        <v>7081</v>
      </c>
      <c r="D122" s="564" t="s">
        <v>6666</v>
      </c>
      <c r="E122" s="591" t="s">
        <v>7177</v>
      </c>
      <c r="F122" s="805" t="s">
        <v>7178</v>
      </c>
      <c r="G122" s="805"/>
      <c r="H122" s="805"/>
      <c r="I122" s="805"/>
      <c r="J122" s="805"/>
      <c r="K122" s="805"/>
      <c r="L122" s="805"/>
      <c r="AE122" s="552"/>
      <c r="AF122" s="552"/>
      <c r="AG122" s="186">
        <v>1</v>
      </c>
    </row>
    <row r="123" spans="3:33" ht="21" customHeight="1">
      <c r="C123" s="554" t="s">
        <v>7179</v>
      </c>
      <c r="D123" s="565" t="s">
        <v>6666</v>
      </c>
      <c r="E123" s="556" t="s">
        <v>7180</v>
      </c>
      <c r="F123" s="772" t="s">
        <v>7181</v>
      </c>
      <c r="G123" s="772"/>
      <c r="H123" s="772"/>
      <c r="I123" s="772"/>
      <c r="J123" s="772"/>
      <c r="K123" s="772"/>
      <c r="L123" s="772"/>
      <c r="AE123" s="552"/>
      <c r="AF123" s="552"/>
      <c r="AG123" s="186">
        <v>1</v>
      </c>
    </row>
    <row r="124" spans="3:33" ht="21" customHeight="1">
      <c r="C124" s="589" t="s">
        <v>7182</v>
      </c>
      <c r="D124" s="566"/>
      <c r="E124" s="591" t="s">
        <v>7183</v>
      </c>
      <c r="F124" s="805" t="s">
        <v>7184</v>
      </c>
      <c r="G124" s="805"/>
      <c r="H124" s="805"/>
      <c r="I124" s="805"/>
      <c r="J124" s="805"/>
      <c r="K124" s="805"/>
      <c r="L124" s="805"/>
      <c r="AE124" s="552"/>
      <c r="AF124" s="552"/>
      <c r="AG124" s="186">
        <v>1</v>
      </c>
    </row>
    <row r="125" spans="3:33" ht="30" customHeight="1">
      <c r="AE125" s="552"/>
      <c r="AF125" s="552"/>
      <c r="AG125" s="186">
        <v>1</v>
      </c>
    </row>
    <row r="126" spans="3:33" ht="30" customHeight="1">
      <c r="AE126" s="552"/>
      <c r="AF126" s="552"/>
      <c r="AG126" s="186">
        <v>1</v>
      </c>
    </row>
    <row r="127" spans="3:33" ht="30" customHeight="1">
      <c r="C127" s="806" t="s">
        <v>7200</v>
      </c>
      <c r="D127" s="806"/>
      <c r="E127" s="806"/>
      <c r="F127" s="806"/>
      <c r="G127" s="806"/>
      <c r="H127" s="806"/>
      <c r="I127" s="806"/>
      <c r="J127" s="806"/>
      <c r="K127" s="806"/>
      <c r="L127" s="806"/>
      <c r="AG127" s="186">
        <v>1</v>
      </c>
    </row>
    <row r="128" spans="3:33" ht="30" customHeight="1">
      <c r="C128" s="778" t="s">
        <v>7123</v>
      </c>
      <c r="D128" s="778"/>
      <c r="E128" s="778"/>
      <c r="F128" s="778"/>
      <c r="G128" s="778"/>
      <c r="H128" s="778"/>
      <c r="I128" s="778"/>
      <c r="J128" s="778"/>
      <c r="K128" s="778"/>
      <c r="L128" s="778"/>
      <c r="AG128" s="186">
        <v>1</v>
      </c>
    </row>
    <row r="129" spans="3:33" ht="30" customHeight="1">
      <c r="AG129" s="186">
        <v>1</v>
      </c>
    </row>
    <row r="130" spans="3:33" ht="30" customHeight="1">
      <c r="C130" s="807" t="s">
        <v>7124</v>
      </c>
      <c r="D130" s="807"/>
      <c r="E130" s="807"/>
      <c r="F130" s="807"/>
      <c r="G130" s="807"/>
      <c r="H130" s="807"/>
      <c r="I130" s="807"/>
      <c r="J130" s="807"/>
      <c r="K130" s="807"/>
      <c r="L130" s="807"/>
      <c r="AG130" s="186">
        <v>1</v>
      </c>
    </row>
    <row r="131" spans="3:33" ht="30" customHeight="1">
      <c r="C131" s="596" t="s">
        <v>7125</v>
      </c>
      <c r="D131" s="543" t="s">
        <v>6666</v>
      </c>
      <c r="E131" s="596" t="s">
        <v>867</v>
      </c>
      <c r="F131" s="543" t="s">
        <v>7126</v>
      </c>
      <c r="G131" s="596" t="s">
        <v>7127</v>
      </c>
      <c r="H131" s="543" t="s">
        <v>7128</v>
      </c>
      <c r="I131" s="596" t="s">
        <v>562</v>
      </c>
      <c r="J131" s="543" t="s">
        <v>6666</v>
      </c>
      <c r="K131" s="596" t="s">
        <v>7015</v>
      </c>
      <c r="L131" s="543" t="s">
        <v>7201</v>
      </c>
      <c r="AG131" s="186">
        <v>1</v>
      </c>
    </row>
    <row r="132" spans="3:33" ht="30" customHeight="1">
      <c r="C132" s="596" t="s">
        <v>7130</v>
      </c>
      <c r="D132" s="543" t="s">
        <v>7131</v>
      </c>
      <c r="E132" s="596" t="s">
        <v>7132</v>
      </c>
      <c r="F132" s="543" t="s">
        <v>6666</v>
      </c>
      <c r="G132" s="596" t="s">
        <v>7133</v>
      </c>
      <c r="H132" s="543" t="s">
        <v>6666</v>
      </c>
      <c r="I132" s="596" t="s">
        <v>7134</v>
      </c>
      <c r="J132" s="543" t="s">
        <v>6666</v>
      </c>
      <c r="K132" s="596" t="s">
        <v>861</v>
      </c>
      <c r="L132" s="543" t="s">
        <v>7135</v>
      </c>
      <c r="AG132" s="186">
        <v>1</v>
      </c>
    </row>
    <row r="133" spans="3:33" ht="30" customHeight="1">
      <c r="AG133" s="186">
        <v>1</v>
      </c>
    </row>
    <row r="134" spans="3:33" ht="30" customHeight="1">
      <c r="C134" s="807" t="s">
        <v>7136</v>
      </c>
      <c r="D134" s="807"/>
      <c r="E134" s="807"/>
      <c r="F134" s="807"/>
      <c r="G134" s="807"/>
      <c r="H134" s="807"/>
      <c r="I134" s="807"/>
      <c r="J134" s="807"/>
      <c r="K134" s="807"/>
      <c r="L134" s="807"/>
      <c r="AG134" s="186">
        <v>1</v>
      </c>
    </row>
    <row r="135" spans="3:33" ht="30" customHeight="1">
      <c r="C135" s="597" t="s">
        <v>908</v>
      </c>
      <c r="D135" s="597" t="s">
        <v>7137</v>
      </c>
      <c r="E135" s="597" t="s">
        <v>7138</v>
      </c>
      <c r="F135" s="597" t="s">
        <v>7139</v>
      </c>
      <c r="G135" s="597" t="s">
        <v>7140</v>
      </c>
      <c r="H135" s="597" t="s">
        <v>7141</v>
      </c>
      <c r="I135" s="597" t="s">
        <v>7142</v>
      </c>
      <c r="J135" s="597" t="s">
        <v>6400</v>
      </c>
      <c r="K135" s="597" t="s">
        <v>7143</v>
      </c>
      <c r="L135" s="597" t="s">
        <v>861</v>
      </c>
      <c r="AG135" s="186">
        <v>1</v>
      </c>
    </row>
    <row r="136" spans="3:33" ht="30" customHeight="1">
      <c r="C136" s="545">
        <v>1</v>
      </c>
      <c r="D136" s="546" t="s">
        <v>7144</v>
      </c>
      <c r="E136" s="546" t="s">
        <v>56</v>
      </c>
      <c r="F136" s="545">
        <v>100</v>
      </c>
      <c r="G136" s="545">
        <v>0</v>
      </c>
      <c r="H136" s="545" t="s">
        <v>6666</v>
      </c>
      <c r="I136" s="546" t="s">
        <v>7145</v>
      </c>
      <c r="J136" s="546" t="s">
        <v>6666</v>
      </c>
      <c r="K136" s="546" t="s">
        <v>7146</v>
      </c>
      <c r="L136" s="546" t="s">
        <v>6667</v>
      </c>
      <c r="AG136" s="186">
        <v>1</v>
      </c>
    </row>
    <row r="137" spans="3:33" ht="30" customHeight="1">
      <c r="C137" s="598">
        <v>2</v>
      </c>
      <c r="D137" s="599" t="s">
        <v>7147</v>
      </c>
      <c r="E137" s="599" t="s">
        <v>22</v>
      </c>
      <c r="F137" s="598">
        <v>50</v>
      </c>
      <c r="G137" s="598">
        <v>0</v>
      </c>
      <c r="H137" s="598" t="s">
        <v>6666</v>
      </c>
      <c r="I137" s="599" t="s">
        <v>7148</v>
      </c>
      <c r="J137" s="599" t="s">
        <v>6666</v>
      </c>
      <c r="K137" s="599" t="s">
        <v>6666</v>
      </c>
      <c r="L137" s="599" t="s">
        <v>6666</v>
      </c>
      <c r="AG137" s="186">
        <v>1</v>
      </c>
    </row>
    <row r="138" spans="3:33" ht="30" customHeight="1">
      <c r="C138" s="545">
        <v>3</v>
      </c>
      <c r="D138" s="546" t="s">
        <v>6666</v>
      </c>
      <c r="E138" s="546" t="s">
        <v>6666</v>
      </c>
      <c r="F138" s="545" t="s">
        <v>6666</v>
      </c>
      <c r="G138" s="545" t="s">
        <v>6666</v>
      </c>
      <c r="H138" s="545" t="s">
        <v>6666</v>
      </c>
      <c r="I138" s="546" t="s">
        <v>6666</v>
      </c>
      <c r="J138" s="546" t="s">
        <v>6666</v>
      </c>
      <c r="K138" s="546" t="s">
        <v>6666</v>
      </c>
      <c r="L138" s="546" t="s">
        <v>6666</v>
      </c>
      <c r="AG138" s="186">
        <v>1</v>
      </c>
    </row>
    <row r="139" spans="3:33" ht="30" customHeight="1">
      <c r="C139" s="598">
        <v>4</v>
      </c>
      <c r="D139" s="599" t="s">
        <v>6666</v>
      </c>
      <c r="E139" s="599" t="s">
        <v>6666</v>
      </c>
      <c r="F139" s="598" t="s">
        <v>6666</v>
      </c>
      <c r="G139" s="598" t="s">
        <v>6666</v>
      </c>
      <c r="H139" s="598" t="s">
        <v>6666</v>
      </c>
      <c r="I139" s="599" t="s">
        <v>6666</v>
      </c>
      <c r="J139" s="599" t="s">
        <v>6666</v>
      </c>
      <c r="K139" s="599" t="s">
        <v>6666</v>
      </c>
      <c r="L139" s="599" t="s">
        <v>6666</v>
      </c>
      <c r="AG139" s="186">
        <v>1</v>
      </c>
    </row>
    <row r="140" spans="3:33" ht="30" customHeight="1" thickBot="1">
      <c r="C140" s="545">
        <v>5</v>
      </c>
      <c r="D140" s="546" t="s">
        <v>6666</v>
      </c>
      <c r="E140" s="546" t="s">
        <v>6666</v>
      </c>
      <c r="F140" s="545" t="s">
        <v>6666</v>
      </c>
      <c r="G140" s="545" t="s">
        <v>6666</v>
      </c>
      <c r="H140" s="545" t="s">
        <v>6666</v>
      </c>
      <c r="I140" s="546" t="s">
        <v>6666</v>
      </c>
      <c r="J140" s="546" t="s">
        <v>6666</v>
      </c>
      <c r="K140" s="546" t="s">
        <v>6666</v>
      </c>
      <c r="L140" s="546" t="s">
        <v>6666</v>
      </c>
      <c r="AG140" s="186">
        <v>1</v>
      </c>
    </row>
    <row r="141" spans="3:33" ht="30" customHeight="1">
      <c r="C141" s="600"/>
      <c r="D141" s="601" t="s">
        <v>203</v>
      </c>
      <c r="E141" s="600"/>
      <c r="F141" s="600"/>
      <c r="G141" s="600"/>
      <c r="H141" s="600"/>
      <c r="I141" s="600"/>
      <c r="J141" s="600"/>
      <c r="K141" s="600"/>
      <c r="L141" s="600"/>
      <c r="AG141" s="186">
        <v>1</v>
      </c>
    </row>
    <row r="142" spans="3:33" ht="30" customHeight="1">
      <c r="AG142" s="186">
        <v>1</v>
      </c>
    </row>
    <row r="143" spans="3:33" ht="21" customHeight="1">
      <c r="C143" s="807" t="s">
        <v>7149</v>
      </c>
      <c r="D143" s="807"/>
      <c r="E143" s="807"/>
      <c r="F143" s="807"/>
      <c r="G143" s="807"/>
      <c r="H143" s="807"/>
      <c r="I143" s="807"/>
      <c r="J143" s="807"/>
      <c r="K143" s="807"/>
      <c r="L143" s="807"/>
      <c r="AG143" s="186">
        <v>1</v>
      </c>
    </row>
    <row r="144" spans="3:33" ht="21" customHeight="1">
      <c r="C144" s="802" t="s">
        <v>7150</v>
      </c>
      <c r="D144" s="802"/>
      <c r="E144" s="802"/>
      <c r="F144" s="802"/>
      <c r="G144" s="802"/>
      <c r="H144" s="802"/>
      <c r="I144" s="802"/>
      <c r="J144" s="802"/>
      <c r="K144" s="802"/>
      <c r="L144" s="802"/>
      <c r="AG144" s="186">
        <v>1</v>
      </c>
    </row>
    <row r="145" spans="3:33" ht="21" customHeight="1">
      <c r="C145" s="802"/>
      <c r="D145" s="802"/>
      <c r="E145" s="802"/>
      <c r="F145" s="802"/>
      <c r="G145" s="802"/>
      <c r="H145" s="802"/>
      <c r="I145" s="802"/>
      <c r="J145" s="802"/>
      <c r="K145" s="802"/>
      <c r="L145" s="802"/>
      <c r="AG145" s="186">
        <v>1</v>
      </c>
    </row>
    <row r="146" spans="3:33" ht="21" customHeight="1">
      <c r="C146" s="802"/>
      <c r="D146" s="802"/>
      <c r="E146" s="802"/>
      <c r="F146" s="802"/>
      <c r="G146" s="802"/>
      <c r="H146" s="802"/>
      <c r="I146" s="802"/>
      <c r="J146" s="802"/>
      <c r="K146" s="802"/>
      <c r="L146" s="802"/>
      <c r="AG146" s="186">
        <v>1</v>
      </c>
    </row>
    <row r="147" spans="3:33" ht="21" customHeight="1">
      <c r="AG147" s="186">
        <v>1</v>
      </c>
    </row>
    <row r="148" spans="3:33" ht="21" customHeight="1">
      <c r="C148" s="803" t="s">
        <v>7151</v>
      </c>
      <c r="D148" s="803"/>
      <c r="E148" s="803"/>
      <c r="F148" s="803"/>
      <c r="G148" s="803"/>
      <c r="H148" s="803"/>
      <c r="I148" s="803"/>
      <c r="J148" s="803"/>
      <c r="K148" s="803"/>
      <c r="L148" s="803"/>
      <c r="AG148" s="186">
        <v>1</v>
      </c>
    </row>
    <row r="149" spans="3:33" ht="21" customHeight="1">
      <c r="C149" s="602" t="s">
        <v>7152</v>
      </c>
      <c r="D149" s="602" t="s">
        <v>7153</v>
      </c>
      <c r="E149" s="602" t="s">
        <v>7154</v>
      </c>
      <c r="F149" s="804" t="s">
        <v>7155</v>
      </c>
      <c r="G149" s="804"/>
      <c r="H149" s="804"/>
      <c r="I149" s="804"/>
      <c r="J149" s="804"/>
      <c r="K149" s="804"/>
      <c r="L149" s="804"/>
      <c r="AG149" s="186">
        <v>1</v>
      </c>
    </row>
    <row r="150" spans="3:33" ht="21" customHeight="1">
      <c r="C150" s="554" t="s">
        <v>7156</v>
      </c>
      <c r="D150" s="603" t="s">
        <v>6666</v>
      </c>
      <c r="E150" s="556" t="s">
        <v>7202</v>
      </c>
      <c r="F150" s="772" t="s">
        <v>7158</v>
      </c>
      <c r="G150" s="772"/>
      <c r="H150" s="772"/>
      <c r="I150" s="772"/>
      <c r="J150" s="772"/>
      <c r="K150" s="772"/>
      <c r="L150" s="772"/>
      <c r="AG150" s="186">
        <v>1</v>
      </c>
    </row>
    <row r="151" spans="3:33" ht="21" customHeight="1">
      <c r="C151" s="604" t="s">
        <v>7159</v>
      </c>
      <c r="D151" s="605" t="s">
        <v>6666</v>
      </c>
      <c r="E151" s="606" t="s">
        <v>7203</v>
      </c>
      <c r="F151" s="799" t="s">
        <v>7161</v>
      </c>
      <c r="G151" s="799"/>
      <c r="H151" s="799"/>
      <c r="I151" s="799"/>
      <c r="J151" s="799"/>
      <c r="K151" s="799"/>
      <c r="L151" s="799"/>
      <c r="AG151" s="186">
        <v>1</v>
      </c>
    </row>
    <row r="152" spans="3:33" ht="21" customHeight="1">
      <c r="C152" s="554" t="s">
        <v>7162</v>
      </c>
      <c r="D152" s="607" t="s">
        <v>6666</v>
      </c>
      <c r="E152" s="556" t="s">
        <v>7204</v>
      </c>
      <c r="F152" s="772" t="s">
        <v>7164</v>
      </c>
      <c r="G152" s="772"/>
      <c r="H152" s="772"/>
      <c r="I152" s="772"/>
      <c r="J152" s="772"/>
      <c r="K152" s="772"/>
      <c r="L152" s="772"/>
      <c r="AG152" s="186">
        <v>1</v>
      </c>
    </row>
    <row r="153" spans="3:33" ht="21" customHeight="1">
      <c r="C153" s="604" t="s">
        <v>7165</v>
      </c>
      <c r="D153" s="608" t="s">
        <v>6666</v>
      </c>
      <c r="E153" s="606" t="s">
        <v>7205</v>
      </c>
      <c r="F153" s="799" t="s">
        <v>7167</v>
      </c>
      <c r="G153" s="799"/>
      <c r="H153" s="799"/>
      <c r="I153" s="799"/>
      <c r="J153" s="799"/>
      <c r="K153" s="799"/>
      <c r="L153" s="799"/>
      <c r="AG153" s="186">
        <v>1</v>
      </c>
    </row>
    <row r="154" spans="3:33" ht="21" customHeight="1">
      <c r="C154" s="554" t="s">
        <v>7168</v>
      </c>
      <c r="D154" s="609" t="s">
        <v>6666</v>
      </c>
      <c r="E154" s="556" t="s">
        <v>7206</v>
      </c>
      <c r="F154" s="772" t="s">
        <v>7170</v>
      </c>
      <c r="G154" s="772"/>
      <c r="H154" s="772"/>
      <c r="I154" s="772"/>
      <c r="J154" s="772"/>
      <c r="K154" s="772"/>
      <c r="L154" s="772"/>
      <c r="AG154" s="186">
        <v>1</v>
      </c>
    </row>
    <row r="155" spans="3:33" ht="21" customHeight="1">
      <c r="C155" s="604" t="s">
        <v>7171</v>
      </c>
      <c r="D155" s="605" t="s">
        <v>6666</v>
      </c>
      <c r="E155" s="606" t="s">
        <v>7203</v>
      </c>
      <c r="F155" s="799" t="s">
        <v>7173</v>
      </c>
      <c r="G155" s="799"/>
      <c r="H155" s="799"/>
      <c r="I155" s="799"/>
      <c r="J155" s="799"/>
      <c r="K155" s="799"/>
      <c r="L155" s="799"/>
      <c r="AG155" s="186">
        <v>1</v>
      </c>
    </row>
    <row r="156" spans="3:33" ht="21" customHeight="1">
      <c r="C156" s="554" t="s">
        <v>7174</v>
      </c>
      <c r="D156" s="556" t="s">
        <v>6666</v>
      </c>
      <c r="E156" s="556" t="s">
        <v>7175</v>
      </c>
      <c r="F156" s="772" t="s">
        <v>7176</v>
      </c>
      <c r="G156" s="772"/>
      <c r="H156" s="772"/>
      <c r="I156" s="772"/>
      <c r="J156" s="772"/>
      <c r="K156" s="772"/>
      <c r="L156" s="772"/>
      <c r="AG156" s="186">
        <v>1</v>
      </c>
    </row>
    <row r="157" spans="3:33" ht="21" customHeight="1">
      <c r="C157" s="604" t="s">
        <v>7081</v>
      </c>
      <c r="D157" s="564" t="s">
        <v>6666</v>
      </c>
      <c r="E157" s="606" t="s">
        <v>7177</v>
      </c>
      <c r="F157" s="799" t="s">
        <v>7178</v>
      </c>
      <c r="G157" s="799"/>
      <c r="H157" s="799"/>
      <c r="I157" s="799"/>
      <c r="J157" s="799"/>
      <c r="K157" s="799"/>
      <c r="L157" s="799"/>
      <c r="AG157" s="186">
        <v>1</v>
      </c>
    </row>
    <row r="158" spans="3:33" ht="21" customHeight="1">
      <c r="C158" s="554" t="s">
        <v>7179</v>
      </c>
      <c r="D158" s="565" t="s">
        <v>6666</v>
      </c>
      <c r="E158" s="556" t="s">
        <v>7180</v>
      </c>
      <c r="F158" s="772" t="s">
        <v>7181</v>
      </c>
      <c r="G158" s="772"/>
      <c r="H158" s="772"/>
      <c r="I158" s="772"/>
      <c r="J158" s="772"/>
      <c r="K158" s="772"/>
      <c r="L158" s="772"/>
      <c r="AG158" s="186">
        <v>1</v>
      </c>
    </row>
    <row r="159" spans="3:33" ht="21" customHeight="1">
      <c r="C159" s="604" t="s">
        <v>7182</v>
      </c>
      <c r="D159" s="566"/>
      <c r="E159" s="606" t="s">
        <v>7183</v>
      </c>
      <c r="F159" s="799" t="s">
        <v>7184</v>
      </c>
      <c r="G159" s="799"/>
      <c r="H159" s="799"/>
      <c r="I159" s="799"/>
      <c r="J159" s="799"/>
      <c r="K159" s="799"/>
      <c r="L159" s="799"/>
      <c r="AG159" s="186">
        <v>1</v>
      </c>
    </row>
    <row r="160" spans="3:33" ht="30" customHeight="1">
      <c r="AG160" s="186">
        <v>1</v>
      </c>
    </row>
    <row r="161" spans="3:33" ht="30" customHeight="1">
      <c r="AG161" s="186">
        <v>1</v>
      </c>
    </row>
    <row r="162" spans="3:33" ht="30" customHeight="1">
      <c r="C162" s="800" t="s">
        <v>7207</v>
      </c>
      <c r="D162" s="800"/>
      <c r="E162" s="800"/>
      <c r="F162" s="800"/>
      <c r="G162" s="800"/>
      <c r="H162" s="800"/>
      <c r="I162" s="800"/>
      <c r="J162" s="800"/>
      <c r="K162" s="800"/>
      <c r="L162" s="800"/>
      <c r="AG162" s="186">
        <v>1</v>
      </c>
    </row>
    <row r="163" spans="3:33" ht="30" customHeight="1">
      <c r="C163" s="778" t="s">
        <v>7123</v>
      </c>
      <c r="D163" s="778"/>
      <c r="E163" s="778"/>
      <c r="F163" s="778"/>
      <c r="G163" s="778"/>
      <c r="H163" s="778"/>
      <c r="I163" s="778"/>
      <c r="J163" s="778"/>
      <c r="K163" s="778"/>
      <c r="L163" s="778"/>
      <c r="AG163" s="186">
        <v>1</v>
      </c>
    </row>
    <row r="164" spans="3:33" ht="30" customHeight="1">
      <c r="AG164" s="186">
        <v>1</v>
      </c>
    </row>
    <row r="165" spans="3:33" ht="30" customHeight="1">
      <c r="C165" s="801" t="s">
        <v>7124</v>
      </c>
      <c r="D165" s="801"/>
      <c r="E165" s="801"/>
      <c r="F165" s="801"/>
      <c r="G165" s="801"/>
      <c r="H165" s="801"/>
      <c r="I165" s="801"/>
      <c r="J165" s="801"/>
      <c r="K165" s="801"/>
      <c r="L165" s="801"/>
      <c r="AG165" s="186">
        <v>1</v>
      </c>
    </row>
    <row r="166" spans="3:33" ht="30" customHeight="1">
      <c r="C166" s="610" t="s">
        <v>7125</v>
      </c>
      <c r="D166" s="543" t="s">
        <v>6666</v>
      </c>
      <c r="E166" s="610" t="s">
        <v>867</v>
      </c>
      <c r="F166" s="543" t="s">
        <v>7126</v>
      </c>
      <c r="G166" s="610" t="s">
        <v>7127</v>
      </c>
      <c r="H166" s="543" t="s">
        <v>7128</v>
      </c>
      <c r="I166" s="610" t="s">
        <v>562</v>
      </c>
      <c r="J166" s="543" t="s">
        <v>6666</v>
      </c>
      <c r="K166" s="610" t="s">
        <v>7015</v>
      </c>
      <c r="L166" s="543" t="s">
        <v>7208</v>
      </c>
      <c r="AG166" s="186">
        <v>1</v>
      </c>
    </row>
    <row r="167" spans="3:33" ht="30" customHeight="1">
      <c r="C167" s="610" t="s">
        <v>7130</v>
      </c>
      <c r="D167" s="543" t="s">
        <v>7131</v>
      </c>
      <c r="E167" s="610" t="s">
        <v>7132</v>
      </c>
      <c r="F167" s="543" t="s">
        <v>6666</v>
      </c>
      <c r="G167" s="610" t="s">
        <v>7133</v>
      </c>
      <c r="H167" s="543" t="s">
        <v>6666</v>
      </c>
      <c r="I167" s="610" t="s">
        <v>7134</v>
      </c>
      <c r="J167" s="543" t="s">
        <v>6666</v>
      </c>
      <c r="K167" s="610" t="s">
        <v>861</v>
      </c>
      <c r="L167" s="543" t="s">
        <v>7135</v>
      </c>
      <c r="AG167" s="186">
        <v>1</v>
      </c>
    </row>
    <row r="168" spans="3:33" ht="30" customHeight="1">
      <c r="AG168" s="186">
        <v>1</v>
      </c>
    </row>
    <row r="169" spans="3:33" ht="30" customHeight="1">
      <c r="C169" s="801" t="s">
        <v>7136</v>
      </c>
      <c r="D169" s="801"/>
      <c r="E169" s="801"/>
      <c r="F169" s="801"/>
      <c r="G169" s="801"/>
      <c r="H169" s="801"/>
      <c r="I169" s="801"/>
      <c r="J169" s="801"/>
      <c r="K169" s="801"/>
      <c r="L169" s="801"/>
      <c r="AG169" s="186">
        <v>1</v>
      </c>
    </row>
    <row r="170" spans="3:33" ht="30" customHeight="1">
      <c r="C170" s="611" t="s">
        <v>908</v>
      </c>
      <c r="D170" s="611" t="s">
        <v>7137</v>
      </c>
      <c r="E170" s="611" t="s">
        <v>7138</v>
      </c>
      <c r="F170" s="611" t="s">
        <v>7139</v>
      </c>
      <c r="G170" s="611" t="s">
        <v>7140</v>
      </c>
      <c r="H170" s="611" t="s">
        <v>7141</v>
      </c>
      <c r="I170" s="611" t="s">
        <v>7142</v>
      </c>
      <c r="J170" s="611" t="s">
        <v>6400</v>
      </c>
      <c r="K170" s="611" t="s">
        <v>7143</v>
      </c>
      <c r="L170" s="611" t="s">
        <v>861</v>
      </c>
      <c r="AG170" s="186">
        <v>1</v>
      </c>
    </row>
    <row r="171" spans="3:33" ht="30" customHeight="1">
      <c r="C171" s="545">
        <v>1</v>
      </c>
      <c r="D171" s="546" t="s">
        <v>7144</v>
      </c>
      <c r="E171" s="546" t="s">
        <v>56</v>
      </c>
      <c r="F171" s="545">
        <v>100</v>
      </c>
      <c r="G171" s="545">
        <v>0</v>
      </c>
      <c r="H171" s="545" t="s">
        <v>6666</v>
      </c>
      <c r="I171" s="546" t="s">
        <v>7145</v>
      </c>
      <c r="J171" s="546" t="s">
        <v>6666</v>
      </c>
      <c r="K171" s="546" t="s">
        <v>7146</v>
      </c>
      <c r="L171" s="546" t="s">
        <v>6667</v>
      </c>
      <c r="AG171" s="186">
        <v>1</v>
      </c>
    </row>
    <row r="172" spans="3:33" ht="30" customHeight="1">
      <c r="C172" s="612">
        <v>2</v>
      </c>
      <c r="D172" s="613" t="s">
        <v>7147</v>
      </c>
      <c r="E172" s="613" t="s">
        <v>22</v>
      </c>
      <c r="F172" s="612">
        <v>50</v>
      </c>
      <c r="G172" s="612">
        <v>0</v>
      </c>
      <c r="H172" s="612" t="s">
        <v>6666</v>
      </c>
      <c r="I172" s="613" t="s">
        <v>7148</v>
      </c>
      <c r="J172" s="613" t="s">
        <v>6666</v>
      </c>
      <c r="K172" s="613" t="s">
        <v>6666</v>
      </c>
      <c r="L172" s="613" t="s">
        <v>6666</v>
      </c>
      <c r="AG172" s="186">
        <v>1</v>
      </c>
    </row>
    <row r="173" spans="3:33" ht="30" customHeight="1">
      <c r="C173" s="545">
        <v>3</v>
      </c>
      <c r="D173" s="546" t="s">
        <v>6666</v>
      </c>
      <c r="E173" s="546" t="s">
        <v>6666</v>
      </c>
      <c r="F173" s="545" t="s">
        <v>6666</v>
      </c>
      <c r="G173" s="545" t="s">
        <v>6666</v>
      </c>
      <c r="H173" s="545" t="s">
        <v>6666</v>
      </c>
      <c r="I173" s="546" t="s">
        <v>6666</v>
      </c>
      <c r="J173" s="546" t="s">
        <v>6666</v>
      </c>
      <c r="K173" s="546" t="s">
        <v>6666</v>
      </c>
      <c r="L173" s="546" t="s">
        <v>6666</v>
      </c>
      <c r="AG173" s="186">
        <v>1</v>
      </c>
    </row>
    <row r="174" spans="3:33" ht="30" customHeight="1">
      <c r="C174" s="612">
        <v>4</v>
      </c>
      <c r="D174" s="613" t="s">
        <v>6666</v>
      </c>
      <c r="E174" s="613" t="s">
        <v>6666</v>
      </c>
      <c r="F174" s="612" t="s">
        <v>6666</v>
      </c>
      <c r="G174" s="612" t="s">
        <v>6666</v>
      </c>
      <c r="H174" s="612" t="s">
        <v>6666</v>
      </c>
      <c r="I174" s="613" t="s">
        <v>6666</v>
      </c>
      <c r="J174" s="613" t="s">
        <v>6666</v>
      </c>
      <c r="K174" s="613" t="s">
        <v>6666</v>
      </c>
      <c r="L174" s="613" t="s">
        <v>6666</v>
      </c>
      <c r="AG174" s="186">
        <v>1</v>
      </c>
    </row>
    <row r="175" spans="3:33" ht="30" customHeight="1" thickBot="1">
      <c r="C175" s="545">
        <v>5</v>
      </c>
      <c r="D175" s="546" t="s">
        <v>6666</v>
      </c>
      <c r="E175" s="546" t="s">
        <v>6666</v>
      </c>
      <c r="F175" s="545" t="s">
        <v>6666</v>
      </c>
      <c r="G175" s="545" t="s">
        <v>6666</v>
      </c>
      <c r="H175" s="545" t="s">
        <v>6666</v>
      </c>
      <c r="I175" s="546" t="s">
        <v>6666</v>
      </c>
      <c r="J175" s="546" t="s">
        <v>6666</v>
      </c>
      <c r="K175" s="546" t="s">
        <v>6666</v>
      </c>
      <c r="L175" s="546" t="s">
        <v>6666</v>
      </c>
      <c r="AG175" s="186">
        <v>1</v>
      </c>
    </row>
    <row r="176" spans="3:33" ht="30" customHeight="1">
      <c r="C176" s="614"/>
      <c r="D176" s="615" t="s">
        <v>203</v>
      </c>
      <c r="E176" s="614"/>
      <c r="F176" s="614"/>
      <c r="G176" s="614"/>
      <c r="H176" s="614"/>
      <c r="I176" s="614"/>
      <c r="J176" s="614"/>
      <c r="K176" s="614"/>
      <c r="L176" s="614"/>
      <c r="AG176" s="186">
        <v>1</v>
      </c>
    </row>
    <row r="177" spans="3:33" ht="30" customHeight="1">
      <c r="AG177" s="186">
        <v>1</v>
      </c>
    </row>
    <row r="178" spans="3:33" ht="21" customHeight="1">
      <c r="C178" s="801" t="s">
        <v>7149</v>
      </c>
      <c r="D178" s="801"/>
      <c r="E178" s="801"/>
      <c r="F178" s="801"/>
      <c r="G178" s="801"/>
      <c r="H178" s="801"/>
      <c r="I178" s="801"/>
      <c r="J178" s="801"/>
      <c r="K178" s="801"/>
      <c r="L178" s="801"/>
      <c r="AG178" s="186">
        <v>1</v>
      </c>
    </row>
    <row r="179" spans="3:33" ht="21" customHeight="1">
      <c r="C179" s="798" t="s">
        <v>7150</v>
      </c>
      <c r="D179" s="798"/>
      <c r="E179" s="798"/>
      <c r="F179" s="798"/>
      <c r="G179" s="798"/>
      <c r="H179" s="798"/>
      <c r="I179" s="798"/>
      <c r="J179" s="798"/>
      <c r="K179" s="798"/>
      <c r="L179" s="798"/>
      <c r="AG179" s="186">
        <v>1</v>
      </c>
    </row>
    <row r="180" spans="3:33" ht="21" customHeight="1">
      <c r="C180" s="798"/>
      <c r="D180" s="798"/>
      <c r="E180" s="798"/>
      <c r="F180" s="798"/>
      <c r="G180" s="798"/>
      <c r="H180" s="798"/>
      <c r="I180" s="798"/>
      <c r="J180" s="798"/>
      <c r="K180" s="798"/>
      <c r="L180" s="798"/>
      <c r="AG180" s="186">
        <v>1</v>
      </c>
    </row>
    <row r="181" spans="3:33" ht="21" customHeight="1">
      <c r="C181" s="798"/>
      <c r="D181" s="798"/>
      <c r="E181" s="798"/>
      <c r="F181" s="798"/>
      <c r="G181" s="798"/>
      <c r="H181" s="798"/>
      <c r="I181" s="798"/>
      <c r="J181" s="798"/>
      <c r="K181" s="798"/>
      <c r="L181" s="798"/>
      <c r="AG181" s="186">
        <v>1</v>
      </c>
    </row>
    <row r="182" spans="3:33" ht="21" customHeight="1">
      <c r="AG182" s="186">
        <v>1</v>
      </c>
    </row>
    <row r="183" spans="3:33" ht="21" customHeight="1">
      <c r="C183" s="781" t="s">
        <v>7151</v>
      </c>
      <c r="D183" s="781"/>
      <c r="E183" s="781"/>
      <c r="F183" s="781"/>
      <c r="G183" s="781"/>
      <c r="H183" s="781"/>
      <c r="I183" s="781"/>
      <c r="J183" s="781"/>
      <c r="K183" s="781"/>
      <c r="L183" s="781"/>
      <c r="AG183" s="186">
        <v>1</v>
      </c>
    </row>
    <row r="184" spans="3:33" ht="21" customHeight="1">
      <c r="C184" s="616" t="s">
        <v>7152</v>
      </c>
      <c r="D184" s="616" t="s">
        <v>7153</v>
      </c>
      <c r="E184" s="616" t="s">
        <v>7154</v>
      </c>
      <c r="F184" s="782" t="s">
        <v>7155</v>
      </c>
      <c r="G184" s="782"/>
      <c r="H184" s="782"/>
      <c r="I184" s="782"/>
      <c r="J184" s="782"/>
      <c r="K184" s="782"/>
      <c r="L184" s="782"/>
      <c r="AG184" s="186">
        <v>1</v>
      </c>
    </row>
    <row r="185" spans="3:33" ht="21" customHeight="1">
      <c r="C185" s="554" t="s">
        <v>7156</v>
      </c>
      <c r="D185" s="617" t="s">
        <v>6666</v>
      </c>
      <c r="E185" s="556" t="s">
        <v>7209</v>
      </c>
      <c r="F185" s="772" t="s">
        <v>7158</v>
      </c>
      <c r="G185" s="772"/>
      <c r="H185" s="772"/>
      <c r="I185" s="772"/>
      <c r="J185" s="772"/>
      <c r="K185" s="772"/>
      <c r="L185" s="772"/>
      <c r="AG185" s="186">
        <v>1</v>
      </c>
    </row>
    <row r="186" spans="3:33" ht="21" customHeight="1">
      <c r="C186" s="618" t="s">
        <v>7159</v>
      </c>
      <c r="D186" s="619" t="s">
        <v>6666</v>
      </c>
      <c r="E186" s="620" t="s">
        <v>7210</v>
      </c>
      <c r="F186" s="795" t="s">
        <v>7161</v>
      </c>
      <c r="G186" s="795"/>
      <c r="H186" s="795"/>
      <c r="I186" s="795"/>
      <c r="J186" s="795"/>
      <c r="K186" s="795"/>
      <c r="L186" s="795"/>
      <c r="AG186" s="186">
        <v>1</v>
      </c>
    </row>
    <row r="187" spans="3:33" ht="21" customHeight="1">
      <c r="C187" s="554" t="s">
        <v>7162</v>
      </c>
      <c r="D187" s="621" t="s">
        <v>6666</v>
      </c>
      <c r="E187" s="556" t="s">
        <v>7211</v>
      </c>
      <c r="F187" s="772" t="s">
        <v>7164</v>
      </c>
      <c r="G187" s="772"/>
      <c r="H187" s="772"/>
      <c r="I187" s="772"/>
      <c r="J187" s="772"/>
      <c r="K187" s="772"/>
      <c r="L187" s="772"/>
      <c r="AG187" s="186">
        <v>1</v>
      </c>
    </row>
    <row r="188" spans="3:33" ht="21" customHeight="1">
      <c r="C188" s="618" t="s">
        <v>7165</v>
      </c>
      <c r="D188" s="622" t="s">
        <v>6666</v>
      </c>
      <c r="E188" s="620" t="s">
        <v>7212</v>
      </c>
      <c r="F188" s="795" t="s">
        <v>7167</v>
      </c>
      <c r="G188" s="795"/>
      <c r="H188" s="795"/>
      <c r="I188" s="795"/>
      <c r="J188" s="795"/>
      <c r="K188" s="795"/>
      <c r="L188" s="795"/>
      <c r="AG188" s="186">
        <v>1</v>
      </c>
    </row>
    <row r="189" spans="3:33" ht="21" customHeight="1">
      <c r="C189" s="554" t="s">
        <v>7168</v>
      </c>
      <c r="D189" s="623" t="s">
        <v>6666</v>
      </c>
      <c r="E189" s="556" t="s">
        <v>7213</v>
      </c>
      <c r="F189" s="772" t="s">
        <v>7170</v>
      </c>
      <c r="G189" s="772"/>
      <c r="H189" s="772"/>
      <c r="I189" s="772"/>
      <c r="J189" s="772"/>
      <c r="K189" s="772"/>
      <c r="L189" s="772"/>
      <c r="AG189" s="186">
        <v>1</v>
      </c>
    </row>
    <row r="190" spans="3:33" ht="21" customHeight="1">
      <c r="C190" s="618" t="s">
        <v>7171</v>
      </c>
      <c r="D190" s="624" t="s">
        <v>6666</v>
      </c>
      <c r="E190" s="620" t="s">
        <v>7214</v>
      </c>
      <c r="F190" s="795" t="s">
        <v>7173</v>
      </c>
      <c r="G190" s="795"/>
      <c r="H190" s="795"/>
      <c r="I190" s="795"/>
      <c r="J190" s="795"/>
      <c r="K190" s="795"/>
      <c r="L190" s="795"/>
      <c r="AG190" s="186">
        <v>1</v>
      </c>
    </row>
    <row r="191" spans="3:33" ht="21" customHeight="1">
      <c r="C191" s="554" t="s">
        <v>7174</v>
      </c>
      <c r="D191" s="556" t="s">
        <v>6666</v>
      </c>
      <c r="E191" s="556" t="s">
        <v>7175</v>
      </c>
      <c r="F191" s="772" t="s">
        <v>7176</v>
      </c>
      <c r="G191" s="772"/>
      <c r="H191" s="772"/>
      <c r="I191" s="772"/>
      <c r="J191" s="772"/>
      <c r="K191" s="772"/>
      <c r="L191" s="772"/>
      <c r="AG191" s="186">
        <v>1</v>
      </c>
    </row>
    <row r="192" spans="3:33" ht="21" customHeight="1">
      <c r="C192" s="618" t="s">
        <v>7081</v>
      </c>
      <c r="D192" s="564" t="s">
        <v>6666</v>
      </c>
      <c r="E192" s="620" t="s">
        <v>7177</v>
      </c>
      <c r="F192" s="795" t="s">
        <v>7178</v>
      </c>
      <c r="G192" s="795"/>
      <c r="H192" s="795"/>
      <c r="I192" s="795"/>
      <c r="J192" s="795"/>
      <c r="K192" s="795"/>
      <c r="L192" s="795"/>
      <c r="AG192" s="186">
        <v>1</v>
      </c>
    </row>
    <row r="193" spans="3:33" ht="21" customHeight="1">
      <c r="C193" s="554" t="s">
        <v>7179</v>
      </c>
      <c r="D193" s="565" t="s">
        <v>6666</v>
      </c>
      <c r="E193" s="556" t="s">
        <v>7180</v>
      </c>
      <c r="F193" s="772" t="s">
        <v>7181</v>
      </c>
      <c r="G193" s="772"/>
      <c r="H193" s="772"/>
      <c r="I193" s="772"/>
      <c r="J193" s="772"/>
      <c r="K193" s="772"/>
      <c r="L193" s="772"/>
      <c r="AG193" s="186">
        <v>1</v>
      </c>
    </row>
    <row r="194" spans="3:33" ht="21" customHeight="1">
      <c r="C194" s="618" t="s">
        <v>7182</v>
      </c>
      <c r="D194" s="566"/>
      <c r="E194" s="620" t="s">
        <v>7183</v>
      </c>
      <c r="F194" s="795" t="s">
        <v>7184</v>
      </c>
      <c r="G194" s="795"/>
      <c r="H194" s="795"/>
      <c r="I194" s="795"/>
      <c r="J194" s="795"/>
      <c r="K194" s="795"/>
      <c r="L194" s="795"/>
      <c r="AG194" s="186">
        <v>1</v>
      </c>
    </row>
    <row r="195" spans="3:33" ht="30" customHeight="1">
      <c r="AG195" s="186">
        <v>1</v>
      </c>
    </row>
    <row r="196" spans="3:33" ht="30" customHeight="1">
      <c r="AG196" s="186">
        <v>1</v>
      </c>
    </row>
    <row r="197" spans="3:33" ht="30" customHeight="1">
      <c r="C197" s="796" t="s">
        <v>7215</v>
      </c>
      <c r="D197" s="796"/>
      <c r="E197" s="796"/>
      <c r="F197" s="796"/>
      <c r="G197" s="796"/>
      <c r="H197" s="796"/>
      <c r="I197" s="796"/>
      <c r="J197" s="796"/>
      <c r="K197" s="796"/>
      <c r="L197" s="796"/>
      <c r="AG197" s="186">
        <v>1</v>
      </c>
    </row>
    <row r="198" spans="3:33" ht="30" customHeight="1">
      <c r="C198" s="778" t="s">
        <v>7123</v>
      </c>
      <c r="D198" s="778"/>
      <c r="E198" s="778"/>
      <c r="F198" s="778"/>
      <c r="G198" s="778"/>
      <c r="H198" s="778"/>
      <c r="I198" s="778"/>
      <c r="J198" s="778"/>
      <c r="K198" s="778"/>
      <c r="L198" s="778"/>
      <c r="AG198" s="186">
        <v>1</v>
      </c>
    </row>
    <row r="199" spans="3:33" ht="30" customHeight="1">
      <c r="AG199" s="186">
        <v>1</v>
      </c>
    </row>
    <row r="200" spans="3:33" ht="30" customHeight="1">
      <c r="C200" s="797" t="s">
        <v>7124</v>
      </c>
      <c r="D200" s="797"/>
      <c r="E200" s="797"/>
      <c r="F200" s="797"/>
      <c r="G200" s="797"/>
      <c r="H200" s="797"/>
      <c r="I200" s="797"/>
      <c r="J200" s="797"/>
      <c r="K200" s="797"/>
      <c r="L200" s="797"/>
      <c r="AG200" s="186">
        <v>1</v>
      </c>
    </row>
    <row r="201" spans="3:33" ht="30" customHeight="1">
      <c r="C201" s="625" t="s">
        <v>7125</v>
      </c>
      <c r="D201" s="543" t="s">
        <v>6666</v>
      </c>
      <c r="E201" s="625" t="s">
        <v>867</v>
      </c>
      <c r="F201" s="543" t="s">
        <v>7126</v>
      </c>
      <c r="G201" s="625" t="s">
        <v>7127</v>
      </c>
      <c r="H201" s="543" t="s">
        <v>7128</v>
      </c>
      <c r="I201" s="625" t="s">
        <v>562</v>
      </c>
      <c r="J201" s="543" t="s">
        <v>6666</v>
      </c>
      <c r="K201" s="625" t="s">
        <v>7015</v>
      </c>
      <c r="L201" s="543" t="s">
        <v>7216</v>
      </c>
      <c r="AG201" s="186">
        <v>1</v>
      </c>
    </row>
    <row r="202" spans="3:33" ht="30" customHeight="1">
      <c r="C202" s="625" t="s">
        <v>7130</v>
      </c>
      <c r="D202" s="543" t="s">
        <v>7131</v>
      </c>
      <c r="E202" s="625" t="s">
        <v>7132</v>
      </c>
      <c r="F202" s="543" t="s">
        <v>6666</v>
      </c>
      <c r="G202" s="625" t="s">
        <v>7133</v>
      </c>
      <c r="H202" s="543" t="s">
        <v>6666</v>
      </c>
      <c r="I202" s="625" t="s">
        <v>7134</v>
      </c>
      <c r="J202" s="543" t="s">
        <v>6666</v>
      </c>
      <c r="K202" s="625" t="s">
        <v>861</v>
      </c>
      <c r="L202" s="543" t="s">
        <v>7135</v>
      </c>
      <c r="AG202" s="186">
        <v>1</v>
      </c>
    </row>
    <row r="203" spans="3:33" ht="30" customHeight="1">
      <c r="AG203" s="186">
        <v>1</v>
      </c>
    </row>
    <row r="204" spans="3:33" ht="30" customHeight="1">
      <c r="C204" s="797" t="s">
        <v>7136</v>
      </c>
      <c r="D204" s="797"/>
      <c r="E204" s="797"/>
      <c r="F204" s="797"/>
      <c r="G204" s="797"/>
      <c r="H204" s="797"/>
      <c r="I204" s="797"/>
      <c r="J204" s="797"/>
      <c r="K204" s="797"/>
      <c r="L204" s="797"/>
      <c r="AG204" s="186">
        <v>1</v>
      </c>
    </row>
    <row r="205" spans="3:33" ht="30" customHeight="1">
      <c r="C205" s="626" t="s">
        <v>908</v>
      </c>
      <c r="D205" s="626" t="s">
        <v>7137</v>
      </c>
      <c r="E205" s="626" t="s">
        <v>7138</v>
      </c>
      <c r="F205" s="626" t="s">
        <v>7139</v>
      </c>
      <c r="G205" s="626" t="s">
        <v>7140</v>
      </c>
      <c r="H205" s="626" t="s">
        <v>7141</v>
      </c>
      <c r="I205" s="626" t="s">
        <v>7142</v>
      </c>
      <c r="J205" s="626" t="s">
        <v>6400</v>
      </c>
      <c r="K205" s="626" t="s">
        <v>7143</v>
      </c>
      <c r="L205" s="626" t="s">
        <v>861</v>
      </c>
      <c r="AG205" s="186">
        <v>1</v>
      </c>
    </row>
    <row r="206" spans="3:33" ht="30" customHeight="1">
      <c r="C206" s="545">
        <v>1</v>
      </c>
      <c r="D206" s="546" t="s">
        <v>7144</v>
      </c>
      <c r="E206" s="546" t="s">
        <v>56</v>
      </c>
      <c r="F206" s="545">
        <v>100</v>
      </c>
      <c r="G206" s="545">
        <v>0</v>
      </c>
      <c r="H206" s="545" t="s">
        <v>6666</v>
      </c>
      <c r="I206" s="546" t="s">
        <v>7145</v>
      </c>
      <c r="J206" s="546" t="s">
        <v>6666</v>
      </c>
      <c r="K206" s="546" t="s">
        <v>7146</v>
      </c>
      <c r="L206" s="546" t="s">
        <v>6667</v>
      </c>
      <c r="AG206" s="186">
        <v>1</v>
      </c>
    </row>
    <row r="207" spans="3:33" ht="30" customHeight="1">
      <c r="C207" s="627">
        <v>2</v>
      </c>
      <c r="D207" s="628" t="s">
        <v>7147</v>
      </c>
      <c r="E207" s="628" t="s">
        <v>22</v>
      </c>
      <c r="F207" s="627">
        <v>50</v>
      </c>
      <c r="G207" s="627">
        <v>0</v>
      </c>
      <c r="H207" s="627" t="s">
        <v>6666</v>
      </c>
      <c r="I207" s="628" t="s">
        <v>7148</v>
      </c>
      <c r="J207" s="628" t="s">
        <v>6666</v>
      </c>
      <c r="K207" s="628" t="s">
        <v>6666</v>
      </c>
      <c r="L207" s="628" t="s">
        <v>6666</v>
      </c>
      <c r="AG207" s="186">
        <v>1</v>
      </c>
    </row>
    <row r="208" spans="3:33" ht="30" customHeight="1">
      <c r="C208" s="545">
        <v>3</v>
      </c>
      <c r="D208" s="546" t="s">
        <v>6666</v>
      </c>
      <c r="E208" s="546" t="s">
        <v>6666</v>
      </c>
      <c r="F208" s="545" t="s">
        <v>6666</v>
      </c>
      <c r="G208" s="545" t="s">
        <v>6666</v>
      </c>
      <c r="H208" s="545" t="s">
        <v>6666</v>
      </c>
      <c r="I208" s="546" t="s">
        <v>6666</v>
      </c>
      <c r="J208" s="546" t="s">
        <v>6666</v>
      </c>
      <c r="K208" s="546" t="s">
        <v>6666</v>
      </c>
      <c r="L208" s="546" t="s">
        <v>6666</v>
      </c>
      <c r="AG208" s="186">
        <v>1</v>
      </c>
    </row>
    <row r="209" spans="3:33" ht="30" customHeight="1">
      <c r="C209" s="627">
        <v>4</v>
      </c>
      <c r="D209" s="628" t="s">
        <v>6666</v>
      </c>
      <c r="E209" s="628" t="s">
        <v>6666</v>
      </c>
      <c r="F209" s="627" t="s">
        <v>6666</v>
      </c>
      <c r="G209" s="627" t="s">
        <v>6666</v>
      </c>
      <c r="H209" s="627" t="s">
        <v>6666</v>
      </c>
      <c r="I209" s="628" t="s">
        <v>6666</v>
      </c>
      <c r="J209" s="628" t="s">
        <v>6666</v>
      </c>
      <c r="K209" s="628" t="s">
        <v>6666</v>
      </c>
      <c r="L209" s="628" t="s">
        <v>6666</v>
      </c>
      <c r="AG209" s="186">
        <v>1</v>
      </c>
    </row>
    <row r="210" spans="3:33" ht="30" customHeight="1" thickBot="1">
      <c r="C210" s="545">
        <v>5</v>
      </c>
      <c r="D210" s="546" t="s">
        <v>6666</v>
      </c>
      <c r="E210" s="546" t="s">
        <v>6666</v>
      </c>
      <c r="F210" s="545" t="s">
        <v>6666</v>
      </c>
      <c r="G210" s="545" t="s">
        <v>6666</v>
      </c>
      <c r="H210" s="545" t="s">
        <v>6666</v>
      </c>
      <c r="I210" s="546" t="s">
        <v>6666</v>
      </c>
      <c r="J210" s="546" t="s">
        <v>6666</v>
      </c>
      <c r="K210" s="546" t="s">
        <v>6666</v>
      </c>
      <c r="L210" s="546" t="s">
        <v>6666</v>
      </c>
      <c r="AG210" s="186">
        <v>1</v>
      </c>
    </row>
    <row r="211" spans="3:33" ht="30" customHeight="1">
      <c r="C211" s="629"/>
      <c r="D211" s="630" t="s">
        <v>203</v>
      </c>
      <c r="E211" s="629"/>
      <c r="F211" s="629"/>
      <c r="G211" s="629"/>
      <c r="H211" s="629"/>
      <c r="I211" s="629"/>
      <c r="J211" s="629"/>
      <c r="K211" s="629"/>
      <c r="L211" s="629"/>
      <c r="AG211" s="186">
        <v>1</v>
      </c>
    </row>
    <row r="212" spans="3:33" ht="30" customHeight="1">
      <c r="AG212" s="186">
        <v>1</v>
      </c>
    </row>
    <row r="213" spans="3:33" ht="21" customHeight="1">
      <c r="C213" s="797" t="s">
        <v>7149</v>
      </c>
      <c r="D213" s="797"/>
      <c r="E213" s="797"/>
      <c r="F213" s="797"/>
      <c r="G213" s="797"/>
      <c r="H213" s="797"/>
      <c r="I213" s="797"/>
      <c r="J213" s="797"/>
      <c r="K213" s="797"/>
      <c r="L213" s="797"/>
      <c r="AG213" s="186">
        <v>1</v>
      </c>
    </row>
    <row r="214" spans="3:33" ht="21" customHeight="1">
      <c r="C214" s="792" t="s">
        <v>7150</v>
      </c>
      <c r="D214" s="792"/>
      <c r="E214" s="792"/>
      <c r="F214" s="792"/>
      <c r="G214" s="792"/>
      <c r="H214" s="792"/>
      <c r="I214" s="792"/>
      <c r="J214" s="792"/>
      <c r="K214" s="792"/>
      <c r="L214" s="792"/>
      <c r="AG214" s="186">
        <v>1</v>
      </c>
    </row>
    <row r="215" spans="3:33" ht="21" customHeight="1">
      <c r="C215" s="792"/>
      <c r="D215" s="792"/>
      <c r="E215" s="792"/>
      <c r="F215" s="792"/>
      <c r="G215" s="792"/>
      <c r="H215" s="792"/>
      <c r="I215" s="792"/>
      <c r="J215" s="792"/>
      <c r="K215" s="792"/>
      <c r="L215" s="792"/>
      <c r="AG215" s="186">
        <v>1</v>
      </c>
    </row>
    <row r="216" spans="3:33" ht="21" customHeight="1">
      <c r="C216" s="792"/>
      <c r="D216" s="792"/>
      <c r="E216" s="792"/>
      <c r="F216" s="792"/>
      <c r="G216" s="792"/>
      <c r="H216" s="792"/>
      <c r="I216" s="792"/>
      <c r="J216" s="792"/>
      <c r="K216" s="792"/>
      <c r="L216" s="792"/>
      <c r="AG216" s="186">
        <v>1</v>
      </c>
    </row>
    <row r="217" spans="3:33" ht="21" customHeight="1">
      <c r="AG217" s="186">
        <v>1</v>
      </c>
    </row>
    <row r="218" spans="3:33" ht="21" customHeight="1">
      <c r="C218" s="793" t="s">
        <v>7151</v>
      </c>
      <c r="D218" s="793"/>
      <c r="E218" s="793"/>
      <c r="F218" s="793"/>
      <c r="G218" s="793"/>
      <c r="H218" s="793"/>
      <c r="I218" s="793"/>
      <c r="J218" s="793"/>
      <c r="K218" s="793"/>
      <c r="L218" s="793"/>
      <c r="AG218" s="186">
        <v>1</v>
      </c>
    </row>
    <row r="219" spans="3:33" ht="21" customHeight="1">
      <c r="C219" s="631" t="s">
        <v>7152</v>
      </c>
      <c r="D219" s="631" t="s">
        <v>7153</v>
      </c>
      <c r="E219" s="631" t="s">
        <v>7154</v>
      </c>
      <c r="F219" s="794" t="s">
        <v>7155</v>
      </c>
      <c r="G219" s="794"/>
      <c r="H219" s="794"/>
      <c r="I219" s="794"/>
      <c r="J219" s="794"/>
      <c r="K219" s="794"/>
      <c r="L219" s="794"/>
      <c r="AG219" s="186">
        <v>1</v>
      </c>
    </row>
    <row r="220" spans="3:33" ht="21" customHeight="1">
      <c r="C220" s="554" t="s">
        <v>7156</v>
      </c>
      <c r="D220" s="632" t="s">
        <v>6666</v>
      </c>
      <c r="E220" s="556" t="s">
        <v>7217</v>
      </c>
      <c r="F220" s="772" t="s">
        <v>7158</v>
      </c>
      <c r="G220" s="772"/>
      <c r="H220" s="772"/>
      <c r="I220" s="772"/>
      <c r="J220" s="772"/>
      <c r="K220" s="772"/>
      <c r="L220" s="772"/>
      <c r="AG220" s="186">
        <v>1</v>
      </c>
    </row>
    <row r="221" spans="3:33" ht="21" customHeight="1">
      <c r="C221" s="633" t="s">
        <v>7159</v>
      </c>
      <c r="D221" s="634" t="s">
        <v>6666</v>
      </c>
      <c r="E221" s="635" t="s">
        <v>7218</v>
      </c>
      <c r="F221" s="789" t="s">
        <v>7161</v>
      </c>
      <c r="G221" s="789"/>
      <c r="H221" s="789"/>
      <c r="I221" s="789"/>
      <c r="J221" s="789"/>
      <c r="K221" s="789"/>
      <c r="L221" s="789"/>
      <c r="AG221" s="186">
        <v>1</v>
      </c>
    </row>
    <row r="222" spans="3:33" ht="21" customHeight="1">
      <c r="C222" s="554" t="s">
        <v>7162</v>
      </c>
      <c r="D222" s="636" t="s">
        <v>6666</v>
      </c>
      <c r="E222" s="556" t="s">
        <v>7219</v>
      </c>
      <c r="F222" s="772" t="s">
        <v>7164</v>
      </c>
      <c r="G222" s="772"/>
      <c r="H222" s="772"/>
      <c r="I222" s="772"/>
      <c r="J222" s="772"/>
      <c r="K222" s="772"/>
      <c r="L222" s="772"/>
      <c r="AG222" s="186">
        <v>1</v>
      </c>
    </row>
    <row r="223" spans="3:33" ht="21" customHeight="1">
      <c r="C223" s="633" t="s">
        <v>7165</v>
      </c>
      <c r="D223" s="637" t="s">
        <v>6666</v>
      </c>
      <c r="E223" s="635" t="s">
        <v>7220</v>
      </c>
      <c r="F223" s="789" t="s">
        <v>7167</v>
      </c>
      <c r="G223" s="789"/>
      <c r="H223" s="789"/>
      <c r="I223" s="789"/>
      <c r="J223" s="789"/>
      <c r="K223" s="789"/>
      <c r="L223" s="789"/>
      <c r="AG223" s="186">
        <v>1</v>
      </c>
    </row>
    <row r="224" spans="3:33" ht="21" customHeight="1">
      <c r="C224" s="554" t="s">
        <v>7168</v>
      </c>
      <c r="D224" s="638" t="s">
        <v>6666</v>
      </c>
      <c r="E224" s="556" t="s">
        <v>7221</v>
      </c>
      <c r="F224" s="772" t="s">
        <v>7170</v>
      </c>
      <c r="G224" s="772"/>
      <c r="H224" s="772"/>
      <c r="I224" s="772"/>
      <c r="J224" s="772"/>
      <c r="K224" s="772"/>
      <c r="L224" s="772"/>
      <c r="AG224" s="186">
        <v>1</v>
      </c>
    </row>
    <row r="225" spans="3:33" ht="21" customHeight="1">
      <c r="C225" s="633" t="s">
        <v>7171</v>
      </c>
      <c r="D225" s="639" t="s">
        <v>6666</v>
      </c>
      <c r="E225" s="635" t="s">
        <v>7222</v>
      </c>
      <c r="F225" s="789" t="s">
        <v>7173</v>
      </c>
      <c r="G225" s="789"/>
      <c r="H225" s="789"/>
      <c r="I225" s="789"/>
      <c r="J225" s="789"/>
      <c r="K225" s="789"/>
      <c r="L225" s="789"/>
      <c r="AG225" s="186">
        <v>1</v>
      </c>
    </row>
    <row r="226" spans="3:33" ht="21" customHeight="1">
      <c r="C226" s="554" t="s">
        <v>7174</v>
      </c>
      <c r="D226" s="556" t="s">
        <v>6666</v>
      </c>
      <c r="E226" s="556" t="s">
        <v>7175</v>
      </c>
      <c r="F226" s="772" t="s">
        <v>7176</v>
      </c>
      <c r="G226" s="772"/>
      <c r="H226" s="772"/>
      <c r="I226" s="772"/>
      <c r="J226" s="772"/>
      <c r="K226" s="772"/>
      <c r="L226" s="772"/>
      <c r="AG226" s="186">
        <v>1</v>
      </c>
    </row>
    <row r="227" spans="3:33" ht="21" customHeight="1">
      <c r="C227" s="633" t="s">
        <v>7081</v>
      </c>
      <c r="D227" s="564" t="s">
        <v>6666</v>
      </c>
      <c r="E227" s="635" t="s">
        <v>7177</v>
      </c>
      <c r="F227" s="789" t="s">
        <v>7178</v>
      </c>
      <c r="G227" s="789"/>
      <c r="H227" s="789"/>
      <c r="I227" s="789"/>
      <c r="J227" s="789"/>
      <c r="K227" s="789"/>
      <c r="L227" s="789"/>
      <c r="AG227" s="186">
        <v>1</v>
      </c>
    </row>
    <row r="228" spans="3:33" ht="21" customHeight="1">
      <c r="C228" s="554" t="s">
        <v>7179</v>
      </c>
      <c r="D228" s="565" t="s">
        <v>6666</v>
      </c>
      <c r="E228" s="556" t="s">
        <v>7180</v>
      </c>
      <c r="F228" s="772" t="s">
        <v>7181</v>
      </c>
      <c r="G228" s="772"/>
      <c r="H228" s="772"/>
      <c r="I228" s="772"/>
      <c r="J228" s="772"/>
      <c r="K228" s="772"/>
      <c r="L228" s="772"/>
      <c r="AG228" s="186">
        <v>1</v>
      </c>
    </row>
    <row r="229" spans="3:33" ht="21" customHeight="1">
      <c r="C229" s="633" t="s">
        <v>7182</v>
      </c>
      <c r="D229" s="566"/>
      <c r="E229" s="635" t="s">
        <v>7183</v>
      </c>
      <c r="F229" s="789" t="s">
        <v>7184</v>
      </c>
      <c r="G229" s="789"/>
      <c r="H229" s="789"/>
      <c r="I229" s="789"/>
      <c r="J229" s="789"/>
      <c r="K229" s="789"/>
      <c r="L229" s="789"/>
      <c r="AG229" s="186">
        <v>1</v>
      </c>
    </row>
    <row r="230" spans="3:33" ht="30" customHeight="1">
      <c r="AG230" s="186">
        <v>1</v>
      </c>
    </row>
    <row r="231" spans="3:33" ht="30" customHeight="1">
      <c r="C231" s="790" t="s">
        <v>7223</v>
      </c>
      <c r="D231" s="790"/>
      <c r="E231" s="790"/>
      <c r="F231" s="790"/>
      <c r="G231" s="790"/>
      <c r="H231" s="790"/>
      <c r="I231" s="790"/>
      <c r="J231" s="790"/>
      <c r="K231" s="790"/>
      <c r="L231" s="790"/>
      <c r="AG231" s="186">
        <v>1</v>
      </c>
    </row>
    <row r="232" spans="3:33" ht="30" customHeight="1">
      <c r="C232" s="778" t="s">
        <v>7123</v>
      </c>
      <c r="D232" s="778"/>
      <c r="E232" s="778"/>
      <c r="F232" s="778"/>
      <c r="G232" s="778"/>
      <c r="H232" s="778"/>
      <c r="I232" s="778"/>
      <c r="J232" s="778"/>
      <c r="K232" s="778"/>
      <c r="L232" s="778"/>
      <c r="AG232" s="186">
        <v>1</v>
      </c>
    </row>
    <row r="233" spans="3:33" ht="30" customHeight="1">
      <c r="AG233" s="186">
        <v>1</v>
      </c>
    </row>
    <row r="234" spans="3:33" ht="30" customHeight="1">
      <c r="C234" s="791" t="s">
        <v>7124</v>
      </c>
      <c r="D234" s="791"/>
      <c r="E234" s="791"/>
      <c r="F234" s="791"/>
      <c r="G234" s="791"/>
      <c r="H234" s="791"/>
      <c r="I234" s="791"/>
      <c r="J234" s="791"/>
      <c r="K234" s="791"/>
      <c r="L234" s="791"/>
      <c r="AG234" s="186">
        <v>1</v>
      </c>
    </row>
    <row r="235" spans="3:33" ht="30" customHeight="1">
      <c r="C235" s="640" t="s">
        <v>7125</v>
      </c>
      <c r="D235" s="543" t="s">
        <v>6666</v>
      </c>
      <c r="E235" s="640" t="s">
        <v>867</v>
      </c>
      <c r="F235" s="543" t="s">
        <v>7126</v>
      </c>
      <c r="G235" s="640" t="s">
        <v>7127</v>
      </c>
      <c r="H235" s="543" t="s">
        <v>7128</v>
      </c>
      <c r="I235" s="640" t="s">
        <v>562</v>
      </c>
      <c r="J235" s="543" t="s">
        <v>6666</v>
      </c>
      <c r="K235" s="640" t="s">
        <v>7015</v>
      </c>
      <c r="L235" s="543" t="s">
        <v>7224</v>
      </c>
      <c r="AG235" s="186">
        <v>1</v>
      </c>
    </row>
    <row r="236" spans="3:33" ht="30" customHeight="1">
      <c r="C236" s="640" t="s">
        <v>7130</v>
      </c>
      <c r="D236" s="543" t="s">
        <v>7131</v>
      </c>
      <c r="E236" s="640" t="s">
        <v>7132</v>
      </c>
      <c r="F236" s="543" t="s">
        <v>6666</v>
      </c>
      <c r="G236" s="640" t="s">
        <v>7133</v>
      </c>
      <c r="H236" s="543" t="s">
        <v>6666</v>
      </c>
      <c r="I236" s="640" t="s">
        <v>7134</v>
      </c>
      <c r="J236" s="543" t="s">
        <v>6666</v>
      </c>
      <c r="K236" s="640" t="s">
        <v>861</v>
      </c>
      <c r="L236" s="543" t="s">
        <v>7135</v>
      </c>
      <c r="AG236" s="186">
        <v>1</v>
      </c>
    </row>
    <row r="237" spans="3:33" ht="30" customHeight="1">
      <c r="AG237" s="186">
        <v>1</v>
      </c>
    </row>
    <row r="238" spans="3:33" ht="30" customHeight="1">
      <c r="C238" s="791" t="s">
        <v>7136</v>
      </c>
      <c r="D238" s="791"/>
      <c r="E238" s="791"/>
      <c r="F238" s="791"/>
      <c r="G238" s="791"/>
      <c r="H238" s="791"/>
      <c r="I238" s="791"/>
      <c r="J238" s="791"/>
      <c r="K238" s="791"/>
      <c r="L238" s="791"/>
      <c r="AG238" s="186">
        <v>1</v>
      </c>
    </row>
    <row r="239" spans="3:33" ht="30" customHeight="1">
      <c r="C239" s="641" t="s">
        <v>908</v>
      </c>
      <c r="D239" s="641" t="s">
        <v>7137</v>
      </c>
      <c r="E239" s="641" t="s">
        <v>7138</v>
      </c>
      <c r="F239" s="641" t="s">
        <v>7139</v>
      </c>
      <c r="G239" s="641" t="s">
        <v>7140</v>
      </c>
      <c r="H239" s="641" t="s">
        <v>7141</v>
      </c>
      <c r="I239" s="641" t="s">
        <v>7142</v>
      </c>
      <c r="J239" s="641" t="s">
        <v>6400</v>
      </c>
      <c r="K239" s="641" t="s">
        <v>7143</v>
      </c>
      <c r="L239" s="641" t="s">
        <v>861</v>
      </c>
      <c r="AG239" s="186">
        <v>1</v>
      </c>
    </row>
    <row r="240" spans="3:33" ht="30" customHeight="1">
      <c r="C240" s="545">
        <v>1</v>
      </c>
      <c r="D240" s="546" t="s">
        <v>7144</v>
      </c>
      <c r="E240" s="546" t="s">
        <v>56</v>
      </c>
      <c r="F240" s="545">
        <v>100</v>
      </c>
      <c r="G240" s="545">
        <v>0</v>
      </c>
      <c r="H240" s="545" t="s">
        <v>6666</v>
      </c>
      <c r="I240" s="546" t="s">
        <v>7145</v>
      </c>
      <c r="J240" s="546" t="s">
        <v>6666</v>
      </c>
      <c r="K240" s="546" t="s">
        <v>7146</v>
      </c>
      <c r="L240" s="546" t="s">
        <v>6667</v>
      </c>
      <c r="AG240" s="186">
        <v>1</v>
      </c>
    </row>
    <row r="241" spans="3:33" ht="30" customHeight="1">
      <c r="C241" s="642">
        <v>2</v>
      </c>
      <c r="D241" s="643" t="s">
        <v>7147</v>
      </c>
      <c r="E241" s="643" t="s">
        <v>22</v>
      </c>
      <c r="F241" s="642">
        <v>50</v>
      </c>
      <c r="G241" s="642">
        <v>0</v>
      </c>
      <c r="H241" s="642" t="s">
        <v>6666</v>
      </c>
      <c r="I241" s="643" t="s">
        <v>7148</v>
      </c>
      <c r="J241" s="643" t="s">
        <v>6666</v>
      </c>
      <c r="K241" s="643" t="s">
        <v>6666</v>
      </c>
      <c r="L241" s="643" t="s">
        <v>6666</v>
      </c>
      <c r="AG241" s="186">
        <v>1</v>
      </c>
    </row>
    <row r="242" spans="3:33" ht="30" customHeight="1">
      <c r="C242" s="545">
        <v>3</v>
      </c>
      <c r="D242" s="546" t="s">
        <v>6666</v>
      </c>
      <c r="E242" s="546" t="s">
        <v>6666</v>
      </c>
      <c r="F242" s="545" t="s">
        <v>6666</v>
      </c>
      <c r="G242" s="545" t="s">
        <v>6666</v>
      </c>
      <c r="H242" s="545" t="s">
        <v>6666</v>
      </c>
      <c r="I242" s="546" t="s">
        <v>6666</v>
      </c>
      <c r="J242" s="546" t="s">
        <v>6666</v>
      </c>
      <c r="K242" s="546" t="s">
        <v>6666</v>
      </c>
      <c r="L242" s="546" t="s">
        <v>6666</v>
      </c>
      <c r="AG242" s="186">
        <v>1</v>
      </c>
    </row>
    <row r="243" spans="3:33" ht="30" customHeight="1">
      <c r="C243" s="642">
        <v>4</v>
      </c>
      <c r="D243" s="643" t="s">
        <v>6666</v>
      </c>
      <c r="E243" s="643" t="s">
        <v>6666</v>
      </c>
      <c r="F243" s="642" t="s">
        <v>6666</v>
      </c>
      <c r="G243" s="642" t="s">
        <v>6666</v>
      </c>
      <c r="H243" s="642" t="s">
        <v>6666</v>
      </c>
      <c r="I243" s="643" t="s">
        <v>6666</v>
      </c>
      <c r="J243" s="643" t="s">
        <v>6666</v>
      </c>
      <c r="K243" s="643" t="s">
        <v>6666</v>
      </c>
      <c r="L243" s="643" t="s">
        <v>6666</v>
      </c>
      <c r="AG243" s="186">
        <v>1</v>
      </c>
    </row>
    <row r="244" spans="3:33" ht="30" customHeight="1" thickBot="1">
      <c r="C244" s="545">
        <v>5</v>
      </c>
      <c r="D244" s="546" t="s">
        <v>6666</v>
      </c>
      <c r="E244" s="546" t="s">
        <v>6666</v>
      </c>
      <c r="F244" s="545" t="s">
        <v>6666</v>
      </c>
      <c r="G244" s="545" t="s">
        <v>6666</v>
      </c>
      <c r="H244" s="545" t="s">
        <v>6666</v>
      </c>
      <c r="I244" s="546" t="s">
        <v>6666</v>
      </c>
      <c r="J244" s="546" t="s">
        <v>6666</v>
      </c>
      <c r="K244" s="546" t="s">
        <v>6666</v>
      </c>
      <c r="L244" s="546" t="s">
        <v>6666</v>
      </c>
      <c r="AG244" s="186">
        <v>1</v>
      </c>
    </row>
    <row r="245" spans="3:33" ht="30" customHeight="1">
      <c r="C245" s="644"/>
      <c r="D245" s="645" t="s">
        <v>203</v>
      </c>
      <c r="E245" s="644"/>
      <c r="F245" s="644"/>
      <c r="G245" s="644"/>
      <c r="H245" s="644"/>
      <c r="I245" s="644"/>
      <c r="J245" s="644"/>
      <c r="K245" s="644"/>
      <c r="L245" s="644"/>
      <c r="AG245" s="186">
        <v>1</v>
      </c>
    </row>
    <row r="246" spans="3:33" ht="30" customHeight="1">
      <c r="AG246" s="186">
        <v>1</v>
      </c>
    </row>
    <row r="247" spans="3:33" ht="21" customHeight="1">
      <c r="C247" s="791" t="s">
        <v>7149</v>
      </c>
      <c r="D247" s="791"/>
      <c r="E247" s="791"/>
      <c r="F247" s="791"/>
      <c r="G247" s="791"/>
      <c r="H247" s="791"/>
      <c r="I247" s="791"/>
      <c r="J247" s="791"/>
      <c r="K247" s="791"/>
      <c r="L247" s="791"/>
      <c r="AG247" s="186">
        <v>1</v>
      </c>
    </row>
    <row r="248" spans="3:33" ht="21" customHeight="1">
      <c r="C248" s="786" t="s">
        <v>7150</v>
      </c>
      <c r="D248" s="786"/>
      <c r="E248" s="786"/>
      <c r="F248" s="786"/>
      <c r="G248" s="786"/>
      <c r="H248" s="786"/>
      <c r="I248" s="786"/>
      <c r="J248" s="786"/>
      <c r="K248" s="786"/>
      <c r="L248" s="786"/>
      <c r="AG248" s="186">
        <v>1</v>
      </c>
    </row>
    <row r="249" spans="3:33" ht="21" customHeight="1">
      <c r="C249" s="786"/>
      <c r="D249" s="786"/>
      <c r="E249" s="786"/>
      <c r="F249" s="786"/>
      <c r="G249" s="786"/>
      <c r="H249" s="786"/>
      <c r="I249" s="786"/>
      <c r="J249" s="786"/>
      <c r="K249" s="786"/>
      <c r="L249" s="786"/>
      <c r="AG249" s="186">
        <v>1</v>
      </c>
    </row>
    <row r="250" spans="3:33" ht="21" customHeight="1">
      <c r="C250" s="786"/>
      <c r="D250" s="786"/>
      <c r="E250" s="786"/>
      <c r="F250" s="786"/>
      <c r="G250" s="786"/>
      <c r="H250" s="786"/>
      <c r="I250" s="786"/>
      <c r="J250" s="786"/>
      <c r="K250" s="786"/>
      <c r="L250" s="786"/>
      <c r="AG250" s="186">
        <v>1</v>
      </c>
    </row>
    <row r="251" spans="3:33" ht="21" customHeight="1">
      <c r="AG251" s="186">
        <v>1</v>
      </c>
    </row>
    <row r="252" spans="3:33" ht="21" customHeight="1">
      <c r="C252" s="787" t="s">
        <v>7151</v>
      </c>
      <c r="D252" s="787"/>
      <c r="E252" s="787"/>
      <c r="F252" s="787"/>
      <c r="G252" s="787"/>
      <c r="H252" s="787"/>
      <c r="I252" s="787"/>
      <c r="J252" s="787"/>
      <c r="K252" s="787"/>
      <c r="L252" s="787"/>
      <c r="AG252" s="186">
        <v>1</v>
      </c>
    </row>
    <row r="253" spans="3:33" ht="21" customHeight="1">
      <c r="C253" s="646" t="s">
        <v>7152</v>
      </c>
      <c r="D253" s="646" t="s">
        <v>7153</v>
      </c>
      <c r="E253" s="646" t="s">
        <v>7154</v>
      </c>
      <c r="F253" s="788" t="s">
        <v>7155</v>
      </c>
      <c r="G253" s="788"/>
      <c r="H253" s="788"/>
      <c r="I253" s="788"/>
      <c r="J253" s="788"/>
      <c r="K253" s="788"/>
      <c r="L253" s="788"/>
      <c r="AG253" s="186">
        <v>1</v>
      </c>
    </row>
    <row r="254" spans="3:33" ht="21" customHeight="1">
      <c r="C254" s="554" t="s">
        <v>7156</v>
      </c>
      <c r="D254" s="647" t="s">
        <v>6666</v>
      </c>
      <c r="E254" s="556" t="s">
        <v>7225</v>
      </c>
      <c r="F254" s="772" t="s">
        <v>7158</v>
      </c>
      <c r="G254" s="772"/>
      <c r="H254" s="772"/>
      <c r="I254" s="772"/>
      <c r="J254" s="772"/>
      <c r="K254" s="772"/>
      <c r="L254" s="772"/>
      <c r="AG254" s="186">
        <v>1</v>
      </c>
    </row>
    <row r="255" spans="3:33" ht="21" customHeight="1">
      <c r="C255" s="648" t="s">
        <v>7159</v>
      </c>
      <c r="D255" s="649" t="s">
        <v>6666</v>
      </c>
      <c r="E255" s="650" t="s">
        <v>7226</v>
      </c>
      <c r="F255" s="783" t="s">
        <v>7161</v>
      </c>
      <c r="G255" s="783"/>
      <c r="H255" s="783"/>
      <c r="I255" s="783"/>
      <c r="J255" s="783"/>
      <c r="K255" s="783"/>
      <c r="L255" s="783"/>
      <c r="AG255" s="186">
        <v>1</v>
      </c>
    </row>
    <row r="256" spans="3:33" ht="21" customHeight="1">
      <c r="C256" s="554" t="s">
        <v>7162</v>
      </c>
      <c r="D256" s="651" t="s">
        <v>6666</v>
      </c>
      <c r="E256" s="556" t="s">
        <v>7227</v>
      </c>
      <c r="F256" s="772" t="s">
        <v>7164</v>
      </c>
      <c r="G256" s="772"/>
      <c r="H256" s="772"/>
      <c r="I256" s="772"/>
      <c r="J256" s="772"/>
      <c r="K256" s="772"/>
      <c r="L256" s="772"/>
      <c r="AG256" s="186">
        <v>1</v>
      </c>
    </row>
    <row r="257" spans="3:33" ht="21" customHeight="1">
      <c r="C257" s="648" t="s">
        <v>7165</v>
      </c>
      <c r="D257" s="652" t="s">
        <v>6666</v>
      </c>
      <c r="E257" s="650" t="s">
        <v>7228</v>
      </c>
      <c r="F257" s="783" t="s">
        <v>7167</v>
      </c>
      <c r="G257" s="783"/>
      <c r="H257" s="783"/>
      <c r="I257" s="783"/>
      <c r="J257" s="783"/>
      <c r="K257" s="783"/>
      <c r="L257" s="783"/>
      <c r="AG257" s="186">
        <v>1</v>
      </c>
    </row>
    <row r="258" spans="3:33" ht="21" customHeight="1">
      <c r="C258" s="554" t="s">
        <v>7168</v>
      </c>
      <c r="D258" s="653" t="s">
        <v>6666</v>
      </c>
      <c r="E258" s="556" t="s">
        <v>7229</v>
      </c>
      <c r="F258" s="772" t="s">
        <v>7170</v>
      </c>
      <c r="G258" s="772"/>
      <c r="H258" s="772"/>
      <c r="I258" s="772"/>
      <c r="J258" s="772"/>
      <c r="K258" s="772"/>
      <c r="L258" s="772"/>
      <c r="AG258" s="186">
        <v>1</v>
      </c>
    </row>
    <row r="259" spans="3:33" ht="21" customHeight="1">
      <c r="C259" s="648" t="s">
        <v>7171</v>
      </c>
      <c r="D259" s="654" t="s">
        <v>6666</v>
      </c>
      <c r="E259" s="650" t="s">
        <v>7230</v>
      </c>
      <c r="F259" s="783" t="s">
        <v>7173</v>
      </c>
      <c r="G259" s="783"/>
      <c r="H259" s="783"/>
      <c r="I259" s="783"/>
      <c r="J259" s="783"/>
      <c r="K259" s="783"/>
      <c r="L259" s="783"/>
      <c r="AG259" s="186">
        <v>1</v>
      </c>
    </row>
    <row r="260" spans="3:33" ht="21" customHeight="1">
      <c r="C260" s="554" t="s">
        <v>7174</v>
      </c>
      <c r="D260" s="556" t="s">
        <v>6666</v>
      </c>
      <c r="E260" s="556" t="s">
        <v>7175</v>
      </c>
      <c r="F260" s="772" t="s">
        <v>7176</v>
      </c>
      <c r="G260" s="772"/>
      <c r="H260" s="772"/>
      <c r="I260" s="772"/>
      <c r="J260" s="772"/>
      <c r="K260" s="772"/>
      <c r="L260" s="772"/>
      <c r="AG260" s="186">
        <v>1</v>
      </c>
    </row>
    <row r="261" spans="3:33" ht="21" customHeight="1">
      <c r="C261" s="648" t="s">
        <v>7081</v>
      </c>
      <c r="D261" s="564" t="s">
        <v>6666</v>
      </c>
      <c r="E261" s="650" t="s">
        <v>7177</v>
      </c>
      <c r="F261" s="783" t="s">
        <v>7178</v>
      </c>
      <c r="G261" s="783"/>
      <c r="H261" s="783"/>
      <c r="I261" s="783"/>
      <c r="J261" s="783"/>
      <c r="K261" s="783"/>
      <c r="L261" s="783"/>
      <c r="AG261" s="186">
        <v>1</v>
      </c>
    </row>
    <row r="262" spans="3:33" ht="21" customHeight="1">
      <c r="C262" s="554" t="s">
        <v>7179</v>
      </c>
      <c r="D262" s="565" t="s">
        <v>6666</v>
      </c>
      <c r="E262" s="556" t="s">
        <v>7180</v>
      </c>
      <c r="F262" s="772" t="s">
        <v>7181</v>
      </c>
      <c r="G262" s="772"/>
      <c r="H262" s="772"/>
      <c r="I262" s="772"/>
      <c r="J262" s="772"/>
      <c r="K262" s="772"/>
      <c r="L262" s="772"/>
      <c r="AG262" s="186">
        <v>1</v>
      </c>
    </row>
    <row r="263" spans="3:33" ht="21" customHeight="1">
      <c r="C263" s="648" t="s">
        <v>7182</v>
      </c>
      <c r="D263" s="566"/>
      <c r="E263" s="650" t="s">
        <v>7183</v>
      </c>
      <c r="F263" s="783" t="s">
        <v>7184</v>
      </c>
      <c r="G263" s="783"/>
      <c r="H263" s="783"/>
      <c r="I263" s="783"/>
      <c r="J263" s="783"/>
      <c r="K263" s="783"/>
      <c r="L263" s="783"/>
      <c r="AG263" s="186">
        <v>1</v>
      </c>
    </row>
    <row r="264" spans="3:33" ht="30" customHeight="1">
      <c r="AG264" s="186">
        <v>1</v>
      </c>
    </row>
    <row r="265" spans="3:33" ht="30" customHeight="1">
      <c r="AG265" s="186">
        <v>1</v>
      </c>
    </row>
    <row r="266" spans="3:33" ht="30" customHeight="1">
      <c r="C266" s="784" t="s">
        <v>7231</v>
      </c>
      <c r="D266" s="784"/>
      <c r="E266" s="784"/>
      <c r="F266" s="784"/>
      <c r="G266" s="784"/>
      <c r="H266" s="784"/>
      <c r="I266" s="784"/>
      <c r="J266" s="784"/>
      <c r="K266" s="784"/>
      <c r="L266" s="784"/>
      <c r="AG266" s="186">
        <v>1</v>
      </c>
    </row>
    <row r="267" spans="3:33" ht="30" customHeight="1">
      <c r="C267" s="778" t="s">
        <v>7123</v>
      </c>
      <c r="D267" s="778"/>
      <c r="E267" s="778"/>
      <c r="F267" s="778"/>
      <c r="G267" s="778"/>
      <c r="H267" s="778"/>
      <c r="I267" s="778"/>
      <c r="J267" s="778"/>
      <c r="K267" s="778"/>
      <c r="L267" s="778"/>
      <c r="AG267" s="186">
        <v>1</v>
      </c>
    </row>
    <row r="268" spans="3:33" ht="30" customHeight="1">
      <c r="AG268" s="186">
        <v>1</v>
      </c>
    </row>
    <row r="269" spans="3:33" ht="30" customHeight="1">
      <c r="C269" s="785" t="s">
        <v>7124</v>
      </c>
      <c r="D269" s="785"/>
      <c r="E269" s="785"/>
      <c r="F269" s="785"/>
      <c r="G269" s="785"/>
      <c r="H269" s="785"/>
      <c r="I269" s="785"/>
      <c r="J269" s="785"/>
      <c r="K269" s="785"/>
      <c r="L269" s="785"/>
      <c r="AG269" s="186">
        <v>1</v>
      </c>
    </row>
    <row r="270" spans="3:33" ht="30" customHeight="1">
      <c r="C270" s="610" t="s">
        <v>7125</v>
      </c>
      <c r="D270" s="543" t="s">
        <v>6666</v>
      </c>
      <c r="E270" s="610" t="s">
        <v>867</v>
      </c>
      <c r="F270" s="543" t="s">
        <v>7126</v>
      </c>
      <c r="G270" s="610" t="s">
        <v>7127</v>
      </c>
      <c r="H270" s="543" t="s">
        <v>7128</v>
      </c>
      <c r="I270" s="610" t="s">
        <v>562</v>
      </c>
      <c r="J270" s="543" t="s">
        <v>6666</v>
      </c>
      <c r="K270" s="610" t="s">
        <v>7015</v>
      </c>
      <c r="L270" s="543" t="s">
        <v>7232</v>
      </c>
      <c r="AG270" s="186">
        <v>1</v>
      </c>
    </row>
    <row r="271" spans="3:33" ht="30" customHeight="1">
      <c r="C271" s="610" t="s">
        <v>7130</v>
      </c>
      <c r="D271" s="543" t="s">
        <v>7131</v>
      </c>
      <c r="E271" s="610" t="s">
        <v>7132</v>
      </c>
      <c r="F271" s="543" t="s">
        <v>6666</v>
      </c>
      <c r="G271" s="610" t="s">
        <v>7133</v>
      </c>
      <c r="H271" s="543" t="s">
        <v>6666</v>
      </c>
      <c r="I271" s="610" t="s">
        <v>7134</v>
      </c>
      <c r="J271" s="543" t="s">
        <v>6666</v>
      </c>
      <c r="K271" s="610" t="s">
        <v>861</v>
      </c>
      <c r="L271" s="543" t="s">
        <v>7135</v>
      </c>
      <c r="AG271" s="186">
        <v>1</v>
      </c>
    </row>
    <row r="272" spans="3:33" ht="30" customHeight="1">
      <c r="AG272" s="186">
        <v>1</v>
      </c>
    </row>
    <row r="273" spans="3:33" ht="30" customHeight="1">
      <c r="C273" s="785" t="s">
        <v>7136</v>
      </c>
      <c r="D273" s="785"/>
      <c r="E273" s="785"/>
      <c r="F273" s="785"/>
      <c r="G273" s="785"/>
      <c r="H273" s="785"/>
      <c r="I273" s="785"/>
      <c r="J273" s="785"/>
      <c r="K273" s="785"/>
      <c r="L273" s="785"/>
      <c r="AG273" s="186">
        <v>1</v>
      </c>
    </row>
    <row r="274" spans="3:33" ht="30" customHeight="1">
      <c r="C274" s="655" t="s">
        <v>908</v>
      </c>
      <c r="D274" s="655" t="s">
        <v>7137</v>
      </c>
      <c r="E274" s="655" t="s">
        <v>7138</v>
      </c>
      <c r="F274" s="655" t="s">
        <v>7139</v>
      </c>
      <c r="G274" s="655" t="s">
        <v>7140</v>
      </c>
      <c r="H274" s="655" t="s">
        <v>7141</v>
      </c>
      <c r="I274" s="655" t="s">
        <v>7142</v>
      </c>
      <c r="J274" s="655" t="s">
        <v>6400</v>
      </c>
      <c r="K274" s="655" t="s">
        <v>7143</v>
      </c>
      <c r="L274" s="655" t="s">
        <v>861</v>
      </c>
      <c r="AG274" s="186">
        <v>1</v>
      </c>
    </row>
    <row r="275" spans="3:33" ht="30" customHeight="1">
      <c r="C275" s="545">
        <v>1</v>
      </c>
      <c r="D275" s="546" t="s">
        <v>7144</v>
      </c>
      <c r="E275" s="546" t="s">
        <v>56</v>
      </c>
      <c r="F275" s="545">
        <v>100</v>
      </c>
      <c r="G275" s="545">
        <v>0</v>
      </c>
      <c r="H275" s="545" t="s">
        <v>6666</v>
      </c>
      <c r="I275" s="546" t="s">
        <v>7145</v>
      </c>
      <c r="J275" s="546" t="s">
        <v>6666</v>
      </c>
      <c r="K275" s="546" t="s">
        <v>7146</v>
      </c>
      <c r="L275" s="546" t="s">
        <v>6667</v>
      </c>
      <c r="AG275" s="186">
        <v>1</v>
      </c>
    </row>
    <row r="276" spans="3:33" ht="30" customHeight="1">
      <c r="C276" s="656">
        <v>2</v>
      </c>
      <c r="D276" s="657" t="s">
        <v>7147</v>
      </c>
      <c r="E276" s="657" t="s">
        <v>22</v>
      </c>
      <c r="F276" s="656">
        <v>50</v>
      </c>
      <c r="G276" s="656">
        <v>0</v>
      </c>
      <c r="H276" s="656" t="s">
        <v>6666</v>
      </c>
      <c r="I276" s="657" t="s">
        <v>7148</v>
      </c>
      <c r="J276" s="657" t="s">
        <v>6666</v>
      </c>
      <c r="K276" s="657" t="s">
        <v>6666</v>
      </c>
      <c r="L276" s="657" t="s">
        <v>6666</v>
      </c>
      <c r="AG276" s="186">
        <v>1</v>
      </c>
    </row>
    <row r="277" spans="3:33" ht="30" customHeight="1">
      <c r="C277" s="545">
        <v>3</v>
      </c>
      <c r="D277" s="546" t="s">
        <v>6666</v>
      </c>
      <c r="E277" s="546" t="s">
        <v>6666</v>
      </c>
      <c r="F277" s="545" t="s">
        <v>6666</v>
      </c>
      <c r="G277" s="545" t="s">
        <v>6666</v>
      </c>
      <c r="H277" s="545" t="s">
        <v>6666</v>
      </c>
      <c r="I277" s="546" t="s">
        <v>6666</v>
      </c>
      <c r="J277" s="546" t="s">
        <v>6666</v>
      </c>
      <c r="K277" s="546" t="s">
        <v>6666</v>
      </c>
      <c r="L277" s="546" t="s">
        <v>6666</v>
      </c>
      <c r="AG277" s="186">
        <v>1</v>
      </c>
    </row>
    <row r="278" spans="3:33" ht="30" customHeight="1">
      <c r="C278" s="656">
        <v>4</v>
      </c>
      <c r="D278" s="657" t="s">
        <v>6666</v>
      </c>
      <c r="E278" s="657" t="s">
        <v>6666</v>
      </c>
      <c r="F278" s="656" t="s">
        <v>6666</v>
      </c>
      <c r="G278" s="656" t="s">
        <v>6666</v>
      </c>
      <c r="H278" s="656" t="s">
        <v>6666</v>
      </c>
      <c r="I278" s="657" t="s">
        <v>6666</v>
      </c>
      <c r="J278" s="657" t="s">
        <v>6666</v>
      </c>
      <c r="K278" s="657" t="s">
        <v>6666</v>
      </c>
      <c r="L278" s="657" t="s">
        <v>6666</v>
      </c>
      <c r="AG278" s="186">
        <v>1</v>
      </c>
    </row>
    <row r="279" spans="3:33" ht="30" customHeight="1" thickBot="1">
      <c r="C279" s="545">
        <v>5</v>
      </c>
      <c r="D279" s="546" t="s">
        <v>6666</v>
      </c>
      <c r="E279" s="546" t="s">
        <v>6666</v>
      </c>
      <c r="F279" s="545" t="s">
        <v>6666</v>
      </c>
      <c r="G279" s="545" t="s">
        <v>6666</v>
      </c>
      <c r="H279" s="545" t="s">
        <v>6666</v>
      </c>
      <c r="I279" s="546" t="s">
        <v>6666</v>
      </c>
      <c r="J279" s="546" t="s">
        <v>6666</v>
      </c>
      <c r="K279" s="546" t="s">
        <v>6666</v>
      </c>
      <c r="L279" s="546" t="s">
        <v>6666</v>
      </c>
      <c r="AG279" s="186">
        <v>1</v>
      </c>
    </row>
    <row r="280" spans="3:33" ht="30" customHeight="1">
      <c r="C280" s="614"/>
      <c r="D280" s="615" t="s">
        <v>203</v>
      </c>
      <c r="E280" s="614"/>
      <c r="F280" s="614"/>
      <c r="G280" s="614"/>
      <c r="H280" s="614"/>
      <c r="I280" s="614"/>
      <c r="J280" s="614"/>
      <c r="K280" s="614"/>
      <c r="L280" s="614"/>
      <c r="AG280" s="186">
        <v>1</v>
      </c>
    </row>
    <row r="281" spans="3:33" ht="30" customHeight="1">
      <c r="AG281" s="186">
        <v>1</v>
      </c>
    </row>
    <row r="282" spans="3:33" ht="21" customHeight="1">
      <c r="C282" s="785" t="s">
        <v>7149</v>
      </c>
      <c r="D282" s="785"/>
      <c r="E282" s="785"/>
      <c r="F282" s="785"/>
      <c r="G282" s="785"/>
      <c r="H282" s="785"/>
      <c r="I282" s="785"/>
      <c r="J282" s="785"/>
      <c r="K282" s="785"/>
      <c r="L282" s="785"/>
      <c r="AG282" s="186">
        <v>1</v>
      </c>
    </row>
    <row r="283" spans="3:33" ht="21" customHeight="1">
      <c r="C283" s="780" t="s">
        <v>7150</v>
      </c>
      <c r="D283" s="780"/>
      <c r="E283" s="780"/>
      <c r="F283" s="780"/>
      <c r="G283" s="780"/>
      <c r="H283" s="780"/>
      <c r="I283" s="780"/>
      <c r="J283" s="780"/>
      <c r="K283" s="780"/>
      <c r="L283" s="780"/>
      <c r="AG283" s="186">
        <v>1</v>
      </c>
    </row>
    <row r="284" spans="3:33" ht="21" customHeight="1">
      <c r="C284" s="780"/>
      <c r="D284" s="780"/>
      <c r="E284" s="780"/>
      <c r="F284" s="780"/>
      <c r="G284" s="780"/>
      <c r="H284" s="780"/>
      <c r="I284" s="780"/>
      <c r="J284" s="780"/>
      <c r="K284" s="780"/>
      <c r="L284" s="780"/>
      <c r="AG284" s="186">
        <v>1</v>
      </c>
    </row>
    <row r="285" spans="3:33" ht="21" customHeight="1">
      <c r="C285" s="780"/>
      <c r="D285" s="780"/>
      <c r="E285" s="780"/>
      <c r="F285" s="780"/>
      <c r="G285" s="780"/>
      <c r="H285" s="780"/>
      <c r="I285" s="780"/>
      <c r="J285" s="780"/>
      <c r="K285" s="780"/>
      <c r="L285" s="780"/>
      <c r="AG285" s="186">
        <v>1</v>
      </c>
    </row>
    <row r="286" spans="3:33" ht="21" customHeight="1">
      <c r="AG286" s="186">
        <v>1</v>
      </c>
    </row>
    <row r="287" spans="3:33" ht="21" customHeight="1">
      <c r="C287" s="781" t="s">
        <v>7151</v>
      </c>
      <c r="D287" s="781"/>
      <c r="E287" s="781"/>
      <c r="F287" s="781"/>
      <c r="G287" s="781"/>
      <c r="H287" s="781"/>
      <c r="I287" s="781"/>
      <c r="J287" s="781"/>
      <c r="K287" s="781"/>
      <c r="L287" s="781"/>
      <c r="AG287" s="186">
        <v>1</v>
      </c>
    </row>
    <row r="288" spans="3:33" ht="21" customHeight="1">
      <c r="C288" s="616" t="s">
        <v>7152</v>
      </c>
      <c r="D288" s="616" t="s">
        <v>7153</v>
      </c>
      <c r="E288" s="616" t="s">
        <v>7154</v>
      </c>
      <c r="F288" s="782" t="s">
        <v>7155</v>
      </c>
      <c r="G288" s="782"/>
      <c r="H288" s="782"/>
      <c r="I288" s="782"/>
      <c r="J288" s="782"/>
      <c r="K288" s="782"/>
      <c r="L288" s="782"/>
      <c r="AG288" s="186">
        <v>1</v>
      </c>
    </row>
    <row r="289" spans="3:33" ht="21" customHeight="1">
      <c r="C289" s="554" t="s">
        <v>7156</v>
      </c>
      <c r="D289" s="658" t="s">
        <v>6666</v>
      </c>
      <c r="E289" s="556" t="s">
        <v>7233</v>
      </c>
      <c r="F289" s="772" t="s">
        <v>7158</v>
      </c>
      <c r="G289" s="772"/>
      <c r="H289" s="772"/>
      <c r="I289" s="772"/>
      <c r="J289" s="772"/>
      <c r="K289" s="772"/>
      <c r="L289" s="772"/>
      <c r="AG289" s="186">
        <v>1</v>
      </c>
    </row>
    <row r="290" spans="3:33" ht="21" customHeight="1">
      <c r="C290" s="659" t="s">
        <v>7159</v>
      </c>
      <c r="D290" s="624" t="s">
        <v>6666</v>
      </c>
      <c r="E290" s="660" t="s">
        <v>7214</v>
      </c>
      <c r="F290" s="776" t="s">
        <v>7161</v>
      </c>
      <c r="G290" s="776"/>
      <c r="H290" s="776"/>
      <c r="I290" s="776"/>
      <c r="J290" s="776"/>
      <c r="K290" s="776"/>
      <c r="L290" s="776"/>
      <c r="AG290" s="186">
        <v>1</v>
      </c>
    </row>
    <row r="291" spans="3:33" ht="21" customHeight="1">
      <c r="C291" s="554" t="s">
        <v>7162</v>
      </c>
      <c r="D291" s="621" t="s">
        <v>6666</v>
      </c>
      <c r="E291" s="556" t="s">
        <v>7211</v>
      </c>
      <c r="F291" s="772" t="s">
        <v>7164</v>
      </c>
      <c r="G291" s="772"/>
      <c r="H291" s="772"/>
      <c r="I291" s="772"/>
      <c r="J291" s="772"/>
      <c r="K291" s="772"/>
      <c r="L291" s="772"/>
      <c r="AG291" s="186">
        <v>1</v>
      </c>
    </row>
    <row r="292" spans="3:33" ht="21" customHeight="1">
      <c r="C292" s="659" t="s">
        <v>7165</v>
      </c>
      <c r="D292" s="661" t="s">
        <v>6666</v>
      </c>
      <c r="E292" s="660" t="s">
        <v>7234</v>
      </c>
      <c r="F292" s="776" t="s">
        <v>7167</v>
      </c>
      <c r="G292" s="776"/>
      <c r="H292" s="776"/>
      <c r="I292" s="776"/>
      <c r="J292" s="776"/>
      <c r="K292" s="776"/>
      <c r="L292" s="776"/>
      <c r="AG292" s="186">
        <v>1</v>
      </c>
    </row>
    <row r="293" spans="3:33" ht="21" customHeight="1">
      <c r="C293" s="554" t="s">
        <v>7168</v>
      </c>
      <c r="D293" s="623" t="s">
        <v>6666</v>
      </c>
      <c r="E293" s="556" t="s">
        <v>7213</v>
      </c>
      <c r="F293" s="772" t="s">
        <v>7170</v>
      </c>
      <c r="G293" s="772"/>
      <c r="H293" s="772"/>
      <c r="I293" s="772"/>
      <c r="J293" s="772"/>
      <c r="K293" s="772"/>
      <c r="L293" s="772"/>
      <c r="AG293" s="186">
        <v>1</v>
      </c>
    </row>
    <row r="294" spans="3:33" ht="21" customHeight="1">
      <c r="C294" s="659" t="s">
        <v>7171</v>
      </c>
      <c r="D294" s="619" t="s">
        <v>6666</v>
      </c>
      <c r="E294" s="660" t="s">
        <v>7210</v>
      </c>
      <c r="F294" s="776" t="s">
        <v>7173</v>
      </c>
      <c r="G294" s="776"/>
      <c r="H294" s="776"/>
      <c r="I294" s="776"/>
      <c r="J294" s="776"/>
      <c r="K294" s="776"/>
      <c r="L294" s="776"/>
      <c r="AG294" s="186">
        <v>1</v>
      </c>
    </row>
    <row r="295" spans="3:33" ht="21" customHeight="1">
      <c r="C295" s="554" t="s">
        <v>7174</v>
      </c>
      <c r="D295" s="556" t="s">
        <v>6666</v>
      </c>
      <c r="E295" s="556" t="s">
        <v>7175</v>
      </c>
      <c r="F295" s="772" t="s">
        <v>7176</v>
      </c>
      <c r="G295" s="772"/>
      <c r="H295" s="772"/>
      <c r="I295" s="772"/>
      <c r="J295" s="772"/>
      <c r="K295" s="772"/>
      <c r="L295" s="772"/>
      <c r="AG295" s="186">
        <v>1</v>
      </c>
    </row>
    <row r="296" spans="3:33" ht="21" customHeight="1">
      <c r="C296" s="659" t="s">
        <v>7081</v>
      </c>
      <c r="D296" s="564" t="s">
        <v>6666</v>
      </c>
      <c r="E296" s="660" t="s">
        <v>7177</v>
      </c>
      <c r="F296" s="776" t="s">
        <v>7178</v>
      </c>
      <c r="G296" s="776"/>
      <c r="H296" s="776"/>
      <c r="I296" s="776"/>
      <c r="J296" s="776"/>
      <c r="K296" s="776"/>
      <c r="L296" s="776"/>
      <c r="AG296" s="186">
        <v>1</v>
      </c>
    </row>
    <row r="297" spans="3:33" ht="21" customHeight="1">
      <c r="C297" s="554" t="s">
        <v>7179</v>
      </c>
      <c r="D297" s="565" t="s">
        <v>6666</v>
      </c>
      <c r="E297" s="556" t="s">
        <v>7180</v>
      </c>
      <c r="F297" s="772" t="s">
        <v>7181</v>
      </c>
      <c r="G297" s="772"/>
      <c r="H297" s="772"/>
      <c r="I297" s="772"/>
      <c r="J297" s="772"/>
      <c r="K297" s="772"/>
      <c r="L297" s="772"/>
      <c r="AG297" s="186">
        <v>1</v>
      </c>
    </row>
    <row r="298" spans="3:33" ht="21" customHeight="1">
      <c r="C298" s="659" t="s">
        <v>7182</v>
      </c>
      <c r="D298" s="566"/>
      <c r="E298" s="660" t="s">
        <v>7183</v>
      </c>
      <c r="F298" s="776" t="s">
        <v>7184</v>
      </c>
      <c r="G298" s="776"/>
      <c r="H298" s="776"/>
      <c r="I298" s="776"/>
      <c r="J298" s="776"/>
      <c r="K298" s="776"/>
      <c r="L298" s="776"/>
      <c r="AG298" s="186">
        <v>1</v>
      </c>
    </row>
    <row r="299" spans="3:33" ht="30" customHeight="1">
      <c r="AG299" s="186">
        <v>1</v>
      </c>
    </row>
    <row r="300" spans="3:33" ht="30" customHeight="1">
      <c r="AG300" s="186">
        <v>1</v>
      </c>
    </row>
    <row r="301" spans="3:33" ht="30" customHeight="1">
      <c r="AG301" s="186">
        <v>1</v>
      </c>
    </row>
    <row r="302" spans="3:33" ht="30" customHeight="1">
      <c r="C302" s="777" t="s">
        <v>7235</v>
      </c>
      <c r="D302" s="777"/>
      <c r="E302" s="777"/>
      <c r="F302" s="777"/>
      <c r="G302" s="777"/>
      <c r="H302" s="777"/>
      <c r="I302" s="777"/>
      <c r="J302" s="777"/>
      <c r="K302" s="777"/>
      <c r="L302" s="777"/>
      <c r="AG302" s="186">
        <v>1</v>
      </c>
    </row>
    <row r="303" spans="3:33" ht="30" customHeight="1">
      <c r="C303" s="778" t="s">
        <v>7123</v>
      </c>
      <c r="D303" s="778"/>
      <c r="E303" s="778"/>
      <c r="F303" s="778"/>
      <c r="G303" s="778"/>
      <c r="H303" s="778"/>
      <c r="I303" s="778"/>
      <c r="J303" s="778"/>
      <c r="K303" s="778"/>
      <c r="L303" s="778"/>
      <c r="AG303" s="186">
        <v>1</v>
      </c>
    </row>
    <row r="304" spans="3:33" ht="30" customHeight="1">
      <c r="AG304" s="186">
        <v>1</v>
      </c>
    </row>
    <row r="305" spans="3:33" ht="30" customHeight="1">
      <c r="C305" s="779" t="s">
        <v>7124</v>
      </c>
      <c r="D305" s="779"/>
      <c r="E305" s="779"/>
      <c r="F305" s="779"/>
      <c r="G305" s="779"/>
      <c r="H305" s="779"/>
      <c r="I305" s="779"/>
      <c r="J305" s="779"/>
      <c r="K305" s="779"/>
      <c r="L305" s="779"/>
      <c r="AG305" s="186">
        <v>1</v>
      </c>
    </row>
    <row r="306" spans="3:33" ht="30" customHeight="1">
      <c r="C306" s="662" t="s">
        <v>7125</v>
      </c>
      <c r="D306" s="543" t="s">
        <v>6666</v>
      </c>
      <c r="E306" s="662" t="s">
        <v>867</v>
      </c>
      <c r="F306" s="543" t="s">
        <v>7126</v>
      </c>
      <c r="G306" s="662" t="s">
        <v>7127</v>
      </c>
      <c r="H306" s="543" t="s">
        <v>7128</v>
      </c>
      <c r="I306" s="662" t="s">
        <v>562</v>
      </c>
      <c r="J306" s="543" t="s">
        <v>6666</v>
      </c>
      <c r="K306" s="662" t="s">
        <v>7015</v>
      </c>
      <c r="L306" s="543" t="s">
        <v>7236</v>
      </c>
      <c r="AG306" s="186">
        <v>1</v>
      </c>
    </row>
    <row r="307" spans="3:33" ht="30" customHeight="1">
      <c r="C307" s="662" t="s">
        <v>7130</v>
      </c>
      <c r="D307" s="543" t="s">
        <v>7131</v>
      </c>
      <c r="E307" s="662" t="s">
        <v>7132</v>
      </c>
      <c r="F307" s="543" t="s">
        <v>6666</v>
      </c>
      <c r="G307" s="662" t="s">
        <v>7133</v>
      </c>
      <c r="H307" s="543" t="s">
        <v>6666</v>
      </c>
      <c r="I307" s="662" t="s">
        <v>7134</v>
      </c>
      <c r="J307" s="543" t="s">
        <v>6666</v>
      </c>
      <c r="K307" s="662" t="s">
        <v>861</v>
      </c>
      <c r="L307" s="543" t="s">
        <v>7135</v>
      </c>
      <c r="AG307" s="186">
        <v>1</v>
      </c>
    </row>
    <row r="308" spans="3:33" ht="30" customHeight="1">
      <c r="AG308" s="186">
        <v>1</v>
      </c>
    </row>
    <row r="309" spans="3:33" ht="30" customHeight="1">
      <c r="C309" s="779" t="s">
        <v>7136</v>
      </c>
      <c r="D309" s="779"/>
      <c r="E309" s="779"/>
      <c r="F309" s="779"/>
      <c r="G309" s="779"/>
      <c r="H309" s="779"/>
      <c r="I309" s="779"/>
      <c r="J309" s="779"/>
      <c r="K309" s="779"/>
      <c r="L309" s="779"/>
      <c r="AG309" s="186">
        <v>1</v>
      </c>
    </row>
    <row r="310" spans="3:33" ht="30" customHeight="1">
      <c r="C310" s="663" t="s">
        <v>908</v>
      </c>
      <c r="D310" s="663" t="s">
        <v>7137</v>
      </c>
      <c r="E310" s="663" t="s">
        <v>7138</v>
      </c>
      <c r="F310" s="663" t="s">
        <v>7139</v>
      </c>
      <c r="G310" s="663" t="s">
        <v>7140</v>
      </c>
      <c r="H310" s="663" t="s">
        <v>7141</v>
      </c>
      <c r="I310" s="663" t="s">
        <v>7142</v>
      </c>
      <c r="J310" s="663" t="s">
        <v>6400</v>
      </c>
      <c r="K310" s="663" t="s">
        <v>7143</v>
      </c>
      <c r="L310" s="663" t="s">
        <v>861</v>
      </c>
      <c r="AG310" s="186">
        <v>1</v>
      </c>
    </row>
    <row r="311" spans="3:33" ht="30" customHeight="1">
      <c r="C311" s="545">
        <v>1</v>
      </c>
      <c r="D311" s="546" t="s">
        <v>7144</v>
      </c>
      <c r="E311" s="546" t="s">
        <v>56</v>
      </c>
      <c r="F311" s="545">
        <v>100</v>
      </c>
      <c r="G311" s="545">
        <v>0</v>
      </c>
      <c r="H311" s="545" t="s">
        <v>6666</v>
      </c>
      <c r="I311" s="546" t="s">
        <v>7145</v>
      </c>
      <c r="J311" s="546" t="s">
        <v>6666</v>
      </c>
      <c r="K311" s="546" t="s">
        <v>7146</v>
      </c>
      <c r="L311" s="546" t="s">
        <v>6667</v>
      </c>
      <c r="AG311" s="186">
        <v>1</v>
      </c>
    </row>
    <row r="312" spans="3:33" ht="30" customHeight="1">
      <c r="C312" s="664">
        <v>2</v>
      </c>
      <c r="D312" s="665" t="s">
        <v>7147</v>
      </c>
      <c r="E312" s="665" t="s">
        <v>22</v>
      </c>
      <c r="F312" s="664">
        <v>50</v>
      </c>
      <c r="G312" s="664">
        <v>0</v>
      </c>
      <c r="H312" s="664" t="s">
        <v>6666</v>
      </c>
      <c r="I312" s="665" t="s">
        <v>7148</v>
      </c>
      <c r="J312" s="665" t="s">
        <v>6666</v>
      </c>
      <c r="K312" s="665" t="s">
        <v>6666</v>
      </c>
      <c r="L312" s="665" t="s">
        <v>6666</v>
      </c>
      <c r="AG312" s="186">
        <v>1</v>
      </c>
    </row>
    <row r="313" spans="3:33" ht="30" customHeight="1">
      <c r="C313" s="545">
        <v>3</v>
      </c>
      <c r="D313" s="546" t="s">
        <v>6666</v>
      </c>
      <c r="E313" s="546" t="s">
        <v>6666</v>
      </c>
      <c r="F313" s="545" t="s">
        <v>6666</v>
      </c>
      <c r="G313" s="545" t="s">
        <v>6666</v>
      </c>
      <c r="H313" s="545" t="s">
        <v>6666</v>
      </c>
      <c r="I313" s="546" t="s">
        <v>6666</v>
      </c>
      <c r="J313" s="546" t="s">
        <v>6666</v>
      </c>
      <c r="K313" s="546" t="s">
        <v>6666</v>
      </c>
      <c r="L313" s="546" t="s">
        <v>6666</v>
      </c>
      <c r="AG313" s="186">
        <v>1</v>
      </c>
    </row>
    <row r="314" spans="3:33" ht="30" customHeight="1">
      <c r="C314" s="664">
        <v>4</v>
      </c>
      <c r="D314" s="665" t="s">
        <v>6666</v>
      </c>
      <c r="E314" s="665" t="s">
        <v>6666</v>
      </c>
      <c r="F314" s="664" t="s">
        <v>6666</v>
      </c>
      <c r="G314" s="664" t="s">
        <v>6666</v>
      </c>
      <c r="H314" s="664" t="s">
        <v>6666</v>
      </c>
      <c r="I314" s="665" t="s">
        <v>6666</v>
      </c>
      <c r="J314" s="665" t="s">
        <v>6666</v>
      </c>
      <c r="K314" s="665" t="s">
        <v>6666</v>
      </c>
      <c r="L314" s="665" t="s">
        <v>6666</v>
      </c>
      <c r="AG314" s="186">
        <v>1</v>
      </c>
    </row>
    <row r="315" spans="3:33" ht="30" customHeight="1" thickBot="1">
      <c r="C315" s="545">
        <v>5</v>
      </c>
      <c r="D315" s="546" t="s">
        <v>6666</v>
      </c>
      <c r="E315" s="546" t="s">
        <v>6666</v>
      </c>
      <c r="F315" s="545" t="s">
        <v>6666</v>
      </c>
      <c r="G315" s="545" t="s">
        <v>6666</v>
      </c>
      <c r="H315" s="545" t="s">
        <v>6666</v>
      </c>
      <c r="I315" s="546" t="s">
        <v>6666</v>
      </c>
      <c r="J315" s="546" t="s">
        <v>6666</v>
      </c>
      <c r="K315" s="546" t="s">
        <v>6666</v>
      </c>
      <c r="L315" s="546" t="s">
        <v>6666</v>
      </c>
      <c r="AG315" s="186">
        <v>1</v>
      </c>
    </row>
    <row r="316" spans="3:33" ht="30" customHeight="1">
      <c r="C316" s="666"/>
      <c r="D316" s="667" t="s">
        <v>203</v>
      </c>
      <c r="E316" s="666"/>
      <c r="F316" s="666"/>
      <c r="G316" s="666"/>
      <c r="H316" s="666"/>
      <c r="I316" s="666"/>
      <c r="J316" s="666"/>
      <c r="K316" s="666"/>
      <c r="L316" s="666"/>
      <c r="AG316" s="186">
        <v>1</v>
      </c>
    </row>
    <row r="317" spans="3:33" ht="30" customHeight="1">
      <c r="AG317" s="186">
        <v>1</v>
      </c>
    </row>
    <row r="318" spans="3:33" ht="21" customHeight="1">
      <c r="C318" s="779" t="s">
        <v>7149</v>
      </c>
      <c r="D318" s="779"/>
      <c r="E318" s="779"/>
      <c r="F318" s="779"/>
      <c r="G318" s="779"/>
      <c r="H318" s="779"/>
      <c r="I318" s="779"/>
      <c r="J318" s="779"/>
      <c r="K318" s="779"/>
      <c r="L318" s="779"/>
      <c r="AG318" s="186">
        <v>1</v>
      </c>
    </row>
    <row r="319" spans="3:33" ht="21" customHeight="1">
      <c r="C319" s="773" t="s">
        <v>7150</v>
      </c>
      <c r="D319" s="773"/>
      <c r="E319" s="773"/>
      <c r="F319" s="773"/>
      <c r="G319" s="773"/>
      <c r="H319" s="773"/>
      <c r="I319" s="773"/>
      <c r="J319" s="773"/>
      <c r="K319" s="773"/>
      <c r="L319" s="773"/>
      <c r="AG319" s="186">
        <v>1</v>
      </c>
    </row>
    <row r="320" spans="3:33" ht="21" customHeight="1">
      <c r="C320" s="773"/>
      <c r="D320" s="773"/>
      <c r="E320" s="773"/>
      <c r="F320" s="773"/>
      <c r="G320" s="773"/>
      <c r="H320" s="773"/>
      <c r="I320" s="773"/>
      <c r="J320" s="773"/>
      <c r="K320" s="773"/>
      <c r="L320" s="773"/>
      <c r="AG320" s="186">
        <v>1</v>
      </c>
    </row>
    <row r="321" spans="3:33" ht="21" customHeight="1">
      <c r="C321" s="773"/>
      <c r="D321" s="773"/>
      <c r="E321" s="773"/>
      <c r="F321" s="773"/>
      <c r="G321" s="773"/>
      <c r="H321" s="773"/>
      <c r="I321" s="773"/>
      <c r="J321" s="773"/>
      <c r="K321" s="773"/>
      <c r="L321" s="773"/>
      <c r="AG321" s="186">
        <v>1</v>
      </c>
    </row>
    <row r="322" spans="3:33" ht="21" customHeight="1">
      <c r="AG322" s="186">
        <v>1</v>
      </c>
    </row>
    <row r="323" spans="3:33" ht="21" customHeight="1">
      <c r="C323" s="774" t="s">
        <v>7151</v>
      </c>
      <c r="D323" s="774"/>
      <c r="E323" s="774"/>
      <c r="F323" s="774"/>
      <c r="G323" s="774"/>
      <c r="H323" s="774"/>
      <c r="I323" s="774"/>
      <c r="J323" s="774"/>
      <c r="K323" s="774"/>
      <c r="L323" s="774"/>
      <c r="AG323" s="186">
        <v>1</v>
      </c>
    </row>
    <row r="324" spans="3:33" ht="21" customHeight="1">
      <c r="C324" s="668" t="s">
        <v>7152</v>
      </c>
      <c r="D324" s="668" t="s">
        <v>7153</v>
      </c>
      <c r="E324" s="668" t="s">
        <v>7154</v>
      </c>
      <c r="F324" s="775" t="s">
        <v>7155</v>
      </c>
      <c r="G324" s="775"/>
      <c r="H324" s="775"/>
      <c r="I324" s="775"/>
      <c r="J324" s="775"/>
      <c r="K324" s="775"/>
      <c r="L324" s="775"/>
      <c r="AG324" s="186">
        <v>1</v>
      </c>
    </row>
    <row r="325" spans="3:33" ht="21" customHeight="1">
      <c r="C325" s="554" t="s">
        <v>7156</v>
      </c>
      <c r="D325" s="669" t="s">
        <v>6666</v>
      </c>
      <c r="E325" s="556" t="s">
        <v>7237</v>
      </c>
      <c r="F325" s="772" t="s">
        <v>7158</v>
      </c>
      <c r="G325" s="772"/>
      <c r="H325" s="772"/>
      <c r="I325" s="772"/>
      <c r="J325" s="772"/>
      <c r="K325" s="772"/>
      <c r="L325" s="772"/>
      <c r="AG325" s="186">
        <v>1</v>
      </c>
    </row>
    <row r="326" spans="3:33" ht="21" customHeight="1">
      <c r="C326" s="670" t="s">
        <v>7159</v>
      </c>
      <c r="D326" s="671" t="s">
        <v>6666</v>
      </c>
      <c r="E326" s="672" t="s">
        <v>7238</v>
      </c>
      <c r="F326" s="771" t="s">
        <v>7161</v>
      </c>
      <c r="G326" s="771"/>
      <c r="H326" s="771"/>
      <c r="I326" s="771"/>
      <c r="J326" s="771"/>
      <c r="K326" s="771"/>
      <c r="L326" s="771"/>
      <c r="AG326" s="186">
        <v>1</v>
      </c>
    </row>
    <row r="327" spans="3:33" ht="21" customHeight="1">
      <c r="C327" s="554" t="s">
        <v>7162</v>
      </c>
      <c r="D327" s="673" t="s">
        <v>6666</v>
      </c>
      <c r="E327" s="556" t="s">
        <v>7239</v>
      </c>
      <c r="F327" s="772" t="s">
        <v>7164</v>
      </c>
      <c r="G327" s="772"/>
      <c r="H327" s="772"/>
      <c r="I327" s="772"/>
      <c r="J327" s="772"/>
      <c r="K327" s="772"/>
      <c r="L327" s="772"/>
      <c r="AG327" s="186">
        <v>1</v>
      </c>
    </row>
    <row r="328" spans="3:33" ht="21" customHeight="1">
      <c r="C328" s="670" t="s">
        <v>7165</v>
      </c>
      <c r="D328" s="674" t="s">
        <v>6666</v>
      </c>
      <c r="E328" s="672" t="s">
        <v>7240</v>
      </c>
      <c r="F328" s="771" t="s">
        <v>7167</v>
      </c>
      <c r="G328" s="771"/>
      <c r="H328" s="771"/>
      <c r="I328" s="771"/>
      <c r="J328" s="771"/>
      <c r="K328" s="771"/>
      <c r="L328" s="771"/>
      <c r="AG328" s="186">
        <v>1</v>
      </c>
    </row>
    <row r="329" spans="3:33" ht="21" customHeight="1">
      <c r="C329" s="554" t="s">
        <v>7168</v>
      </c>
      <c r="D329" s="675" t="s">
        <v>6666</v>
      </c>
      <c r="E329" s="556" t="s">
        <v>7241</v>
      </c>
      <c r="F329" s="772" t="s">
        <v>7170</v>
      </c>
      <c r="G329" s="772"/>
      <c r="H329" s="772"/>
      <c r="I329" s="772"/>
      <c r="J329" s="772"/>
      <c r="K329" s="772"/>
      <c r="L329" s="772"/>
      <c r="AG329" s="186">
        <v>1</v>
      </c>
    </row>
    <row r="330" spans="3:33" ht="21" customHeight="1">
      <c r="C330" s="670" t="s">
        <v>7171</v>
      </c>
      <c r="D330" s="676" t="s">
        <v>6666</v>
      </c>
      <c r="E330" s="672" t="s">
        <v>7242</v>
      </c>
      <c r="F330" s="771" t="s">
        <v>7173</v>
      </c>
      <c r="G330" s="771"/>
      <c r="H330" s="771"/>
      <c r="I330" s="771"/>
      <c r="J330" s="771"/>
      <c r="K330" s="771"/>
      <c r="L330" s="771"/>
      <c r="AG330" s="186">
        <v>1</v>
      </c>
    </row>
    <row r="331" spans="3:33" ht="21" customHeight="1">
      <c r="C331" s="554" t="s">
        <v>7174</v>
      </c>
      <c r="D331" s="556" t="s">
        <v>6666</v>
      </c>
      <c r="E331" s="556" t="s">
        <v>7175</v>
      </c>
      <c r="F331" s="772" t="s">
        <v>7176</v>
      </c>
      <c r="G331" s="772"/>
      <c r="H331" s="772"/>
      <c r="I331" s="772"/>
      <c r="J331" s="772"/>
      <c r="K331" s="772"/>
      <c r="L331" s="772"/>
      <c r="AG331" s="186">
        <v>1</v>
      </c>
    </row>
    <row r="332" spans="3:33" ht="21" customHeight="1">
      <c r="C332" s="670" t="s">
        <v>7081</v>
      </c>
      <c r="D332" s="564" t="s">
        <v>6666</v>
      </c>
      <c r="E332" s="672" t="s">
        <v>7177</v>
      </c>
      <c r="F332" s="771" t="s">
        <v>7178</v>
      </c>
      <c r="G332" s="771"/>
      <c r="H332" s="771"/>
      <c r="I332" s="771"/>
      <c r="J332" s="771"/>
      <c r="K332" s="771"/>
      <c r="L332" s="771"/>
      <c r="AG332" s="186">
        <v>1</v>
      </c>
    </row>
    <row r="333" spans="3:33" ht="21" customHeight="1">
      <c r="C333" s="554" t="s">
        <v>7179</v>
      </c>
      <c r="D333" s="565" t="s">
        <v>6666</v>
      </c>
      <c r="E333" s="556" t="s">
        <v>7180</v>
      </c>
      <c r="F333" s="772" t="s">
        <v>7181</v>
      </c>
      <c r="G333" s="772"/>
      <c r="H333" s="772"/>
      <c r="I333" s="772"/>
      <c r="J333" s="772"/>
      <c r="K333" s="772"/>
      <c r="L333" s="772"/>
      <c r="AG333" s="186">
        <v>1</v>
      </c>
    </row>
    <row r="334" spans="3:33" ht="21" customHeight="1">
      <c r="C334" s="670" t="s">
        <v>7182</v>
      </c>
      <c r="D334" s="566"/>
      <c r="E334" s="672" t="s">
        <v>7183</v>
      </c>
      <c r="F334" s="771" t="s">
        <v>7184</v>
      </c>
      <c r="G334" s="771"/>
      <c r="H334" s="771"/>
      <c r="I334" s="771"/>
      <c r="J334" s="771"/>
      <c r="K334" s="771"/>
      <c r="L334" s="771"/>
      <c r="AG334" s="186">
        <v>1</v>
      </c>
    </row>
    <row r="335" spans="3:33" ht="21" customHeight="1">
      <c r="AG335" s="186">
        <v>1</v>
      </c>
    </row>
    <row r="336" spans="3:33">
      <c r="AG336" s="677" t="s">
        <v>842</v>
      </c>
    </row>
    <row r="337" spans="1:35" ht="15">
      <c r="A337" s="186">
        <v>1</v>
      </c>
      <c r="B337" s="186">
        <v>1</v>
      </c>
      <c r="C337" s="186">
        <v>1</v>
      </c>
      <c r="D337" s="186">
        <v>1</v>
      </c>
      <c r="E337" s="186">
        <v>1</v>
      </c>
      <c r="F337" s="186">
        <v>1</v>
      </c>
      <c r="G337" s="186">
        <v>1</v>
      </c>
      <c r="H337" s="186">
        <v>1</v>
      </c>
      <c r="I337" s="186">
        <v>1</v>
      </c>
      <c r="J337" s="186">
        <v>1</v>
      </c>
      <c r="K337" s="186">
        <v>1</v>
      </c>
      <c r="L337" s="186">
        <v>1</v>
      </c>
      <c r="M337" s="186">
        <v>1</v>
      </c>
      <c r="N337" s="186">
        <v>1</v>
      </c>
      <c r="O337" s="186">
        <v>1</v>
      </c>
      <c r="P337" s="186">
        <v>1</v>
      </c>
      <c r="Q337" s="186">
        <v>1</v>
      </c>
      <c r="R337" s="186">
        <v>1</v>
      </c>
      <c r="S337" s="186">
        <v>1</v>
      </c>
      <c r="T337" s="186">
        <v>1</v>
      </c>
      <c r="U337" s="186">
        <v>1</v>
      </c>
      <c r="V337" s="186">
        <v>1</v>
      </c>
      <c r="W337" s="186">
        <v>1</v>
      </c>
      <c r="X337" s="186">
        <v>1</v>
      </c>
      <c r="Y337" s="186">
        <v>1</v>
      </c>
      <c r="Z337" s="186">
        <v>1</v>
      </c>
      <c r="AA337" s="186">
        <v>1</v>
      </c>
      <c r="AB337" s="186">
        <v>1</v>
      </c>
      <c r="AC337" s="186">
        <v>1</v>
      </c>
      <c r="AD337" s="186">
        <v>1</v>
      </c>
      <c r="AE337" s="186">
        <v>1</v>
      </c>
      <c r="AF337" s="186">
        <v>1</v>
      </c>
      <c r="AG337" s="449" t="str">
        <f>ADDRESS(ROW(),COLUMN(),4)</f>
        <v>AG337</v>
      </c>
      <c r="AH337" s="678"/>
      <c r="AI337" s="205" t="str">
        <f>ADDRESS(ROW(),COLUMN(),4)</f>
        <v>AI337</v>
      </c>
    </row>
  </sheetData>
  <mergeCells count="169">
    <mergeCell ref="B20:L20"/>
    <mergeCell ref="C22:L22"/>
    <mergeCell ref="C23:L23"/>
    <mergeCell ref="C25:L25"/>
    <mergeCell ref="C29:L29"/>
    <mergeCell ref="C38:L38"/>
    <mergeCell ref="B6:L6"/>
    <mergeCell ref="P6:T6"/>
    <mergeCell ref="W6:Z6"/>
    <mergeCell ref="B7:L7"/>
    <mergeCell ref="P7:T7"/>
    <mergeCell ref="W7:Z7"/>
    <mergeCell ref="F48:L48"/>
    <mergeCell ref="F49:L49"/>
    <mergeCell ref="F50:L50"/>
    <mergeCell ref="F51:L51"/>
    <mergeCell ref="F52:L52"/>
    <mergeCell ref="F53:L53"/>
    <mergeCell ref="C39:L41"/>
    <mergeCell ref="C43:L43"/>
    <mergeCell ref="F44:L44"/>
    <mergeCell ref="F45:L45"/>
    <mergeCell ref="F46:L46"/>
    <mergeCell ref="F47:L47"/>
    <mergeCell ref="C74:L76"/>
    <mergeCell ref="C78:L78"/>
    <mergeCell ref="F79:L79"/>
    <mergeCell ref="F80:L80"/>
    <mergeCell ref="F81:L81"/>
    <mergeCell ref="F82:L82"/>
    <mergeCell ref="F54:L54"/>
    <mergeCell ref="C57:L57"/>
    <mergeCell ref="C58:L58"/>
    <mergeCell ref="C60:L60"/>
    <mergeCell ref="C64:L64"/>
    <mergeCell ref="C73:L73"/>
    <mergeCell ref="F89:L89"/>
    <mergeCell ref="C92:L92"/>
    <mergeCell ref="C93:L93"/>
    <mergeCell ref="C95:L95"/>
    <mergeCell ref="C99:L99"/>
    <mergeCell ref="C108:L108"/>
    <mergeCell ref="F83:L83"/>
    <mergeCell ref="F84:L84"/>
    <mergeCell ref="F85:L85"/>
    <mergeCell ref="F86:L86"/>
    <mergeCell ref="F87:L87"/>
    <mergeCell ref="F88:L88"/>
    <mergeCell ref="F118:L118"/>
    <mergeCell ref="F119:L119"/>
    <mergeCell ref="F120:L120"/>
    <mergeCell ref="F121:L121"/>
    <mergeCell ref="F122:L122"/>
    <mergeCell ref="F123:L123"/>
    <mergeCell ref="C109:L111"/>
    <mergeCell ref="C113:L113"/>
    <mergeCell ref="F114:L114"/>
    <mergeCell ref="F115:L115"/>
    <mergeCell ref="F116:L116"/>
    <mergeCell ref="F117:L117"/>
    <mergeCell ref="C144:L146"/>
    <mergeCell ref="C148:L148"/>
    <mergeCell ref="F149:L149"/>
    <mergeCell ref="F150:L150"/>
    <mergeCell ref="F151:L151"/>
    <mergeCell ref="F152:L152"/>
    <mergeCell ref="F124:L124"/>
    <mergeCell ref="C127:L127"/>
    <mergeCell ref="C128:L128"/>
    <mergeCell ref="C130:L130"/>
    <mergeCell ref="C134:L134"/>
    <mergeCell ref="C143:L143"/>
    <mergeCell ref="F159:L159"/>
    <mergeCell ref="C162:L162"/>
    <mergeCell ref="C163:L163"/>
    <mergeCell ref="C165:L165"/>
    <mergeCell ref="C169:L169"/>
    <mergeCell ref="C178:L178"/>
    <mergeCell ref="F153:L153"/>
    <mergeCell ref="F154:L154"/>
    <mergeCell ref="F155:L155"/>
    <mergeCell ref="F156:L156"/>
    <mergeCell ref="F157:L157"/>
    <mergeCell ref="F158:L158"/>
    <mergeCell ref="F188:L188"/>
    <mergeCell ref="F189:L189"/>
    <mergeCell ref="F190:L190"/>
    <mergeCell ref="F191:L191"/>
    <mergeCell ref="F192:L192"/>
    <mergeCell ref="F193:L193"/>
    <mergeCell ref="C179:L181"/>
    <mergeCell ref="C183:L183"/>
    <mergeCell ref="F184:L184"/>
    <mergeCell ref="F185:L185"/>
    <mergeCell ref="F186:L186"/>
    <mergeCell ref="F187:L187"/>
    <mergeCell ref="C214:L216"/>
    <mergeCell ref="C218:L218"/>
    <mergeCell ref="F219:L219"/>
    <mergeCell ref="F220:L220"/>
    <mergeCell ref="F221:L221"/>
    <mergeCell ref="F222:L222"/>
    <mergeCell ref="F194:L194"/>
    <mergeCell ref="C197:L197"/>
    <mergeCell ref="C198:L198"/>
    <mergeCell ref="C200:L200"/>
    <mergeCell ref="C204:L204"/>
    <mergeCell ref="C213:L213"/>
    <mergeCell ref="F229:L229"/>
    <mergeCell ref="C231:L231"/>
    <mergeCell ref="C232:L232"/>
    <mergeCell ref="C234:L234"/>
    <mergeCell ref="C238:L238"/>
    <mergeCell ref="C247:L247"/>
    <mergeCell ref="F223:L223"/>
    <mergeCell ref="F224:L224"/>
    <mergeCell ref="F225:L225"/>
    <mergeCell ref="F226:L226"/>
    <mergeCell ref="F227:L227"/>
    <mergeCell ref="F228:L228"/>
    <mergeCell ref="F257:L257"/>
    <mergeCell ref="F258:L258"/>
    <mergeCell ref="F259:L259"/>
    <mergeCell ref="F260:L260"/>
    <mergeCell ref="F261:L261"/>
    <mergeCell ref="F262:L262"/>
    <mergeCell ref="C248:L250"/>
    <mergeCell ref="C252:L252"/>
    <mergeCell ref="F253:L253"/>
    <mergeCell ref="F254:L254"/>
    <mergeCell ref="F255:L255"/>
    <mergeCell ref="F256:L256"/>
    <mergeCell ref="C283:L285"/>
    <mergeCell ref="C287:L287"/>
    <mergeCell ref="F288:L288"/>
    <mergeCell ref="F289:L289"/>
    <mergeCell ref="F290:L290"/>
    <mergeCell ref="F291:L291"/>
    <mergeCell ref="F263:L263"/>
    <mergeCell ref="C266:L266"/>
    <mergeCell ref="C267:L267"/>
    <mergeCell ref="C269:L269"/>
    <mergeCell ref="C273:L273"/>
    <mergeCell ref="C282:L282"/>
    <mergeCell ref="F298:L298"/>
    <mergeCell ref="C302:L302"/>
    <mergeCell ref="C303:L303"/>
    <mergeCell ref="C305:L305"/>
    <mergeCell ref="C309:L309"/>
    <mergeCell ref="C318:L318"/>
    <mergeCell ref="F292:L292"/>
    <mergeCell ref="F293:L293"/>
    <mergeCell ref="F294:L294"/>
    <mergeCell ref="F295:L295"/>
    <mergeCell ref="F296:L296"/>
    <mergeCell ref="F297:L297"/>
    <mergeCell ref="F334:L334"/>
    <mergeCell ref="F328:L328"/>
    <mergeCell ref="F329:L329"/>
    <mergeCell ref="F330:L330"/>
    <mergeCell ref="F331:L331"/>
    <mergeCell ref="F332:L332"/>
    <mergeCell ref="F333:L333"/>
    <mergeCell ref="C319:L321"/>
    <mergeCell ref="C323:L323"/>
    <mergeCell ref="F324:L324"/>
    <mergeCell ref="F325:L325"/>
    <mergeCell ref="F326:L326"/>
    <mergeCell ref="F327:L3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MODE_EMPLOI_CFA</vt:lpstr>
      <vt:lpstr>HYBRIDE_CFA_Explications</vt:lpstr>
      <vt:lpstr>10.recettes.exemple</vt:lpstr>
      <vt:lpstr>Saisissez.vos.postits</vt:lpstr>
      <vt:lpstr>Fiche.recette</vt:lpstr>
      <vt:lpstr>PRINCIPAUX_COCKTAILS</vt:lpstr>
      <vt:lpstr>ALLERGENES_COCKTAILS</vt:lpstr>
      <vt:lpstr>ALLERGENES.6.Septembre.2026</vt:lpstr>
      <vt:lpstr>des.couleurs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Leboucher</dc:creator>
  <cp:lastModifiedBy>Joël Leboucher</cp:lastModifiedBy>
  <dcterms:created xsi:type="dcterms:W3CDTF">2026-09-06T11:20:26Z</dcterms:created>
  <dcterms:modified xsi:type="dcterms:W3CDTF">2026-09-07T06:20:11Z</dcterms:modified>
</cp:coreProperties>
</file>